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3"/>
  </bookViews>
  <sheets>
    <sheet name="титул" sheetId="1" r:id="rId1"/>
    <sheet name="Кап рем" sheetId="2" r:id="rId2"/>
    <sheet name="прил 1" sheetId="3" r:id="rId3"/>
    <sheet name="Прил 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<sst xmlns="http://schemas.openxmlformats.org/spreadsheetml/2006/main" count="490" uniqueCount="341">
  <si>
    <t>Начальнику УЖКХ</t>
  </si>
  <si>
    <t>В.В. Пашаевой</t>
  </si>
  <si>
    <t>Выполнение титульного списка</t>
  </si>
  <si>
    <t>капитального ремонта жилищного фонда МУЖРП-9</t>
  </si>
  <si>
    <t xml:space="preserve">за счет средств собственников жилья  за 2012 года </t>
  </si>
  <si>
    <t>№ п.п.</t>
  </si>
  <si>
    <t>Адрес</t>
  </si>
  <si>
    <t>Год постройки</t>
  </si>
  <si>
    <t>Общая полезная площадь (м2)</t>
  </si>
  <si>
    <t>Вид работ</t>
  </si>
  <si>
    <t>Ед. изм.</t>
  </si>
  <si>
    <t>Объем</t>
  </si>
  <si>
    <t>Стоимость работ     (тыс. руб.)</t>
  </si>
  <si>
    <t>Выполненный  объем</t>
  </si>
  <si>
    <t>Стоимость вып. работ     (тыс. руб.)</t>
  </si>
  <si>
    <t>Примечание</t>
  </si>
  <si>
    <t>Циолковского 15б</t>
  </si>
  <si>
    <t>Ремонт  кровли</t>
  </si>
  <si>
    <t>м2</t>
  </si>
  <si>
    <t>Согласно акта обследования</t>
  </si>
  <si>
    <t>Ремонт лифтов</t>
  </si>
  <si>
    <t>шт</t>
  </si>
  <si>
    <t>Давыдова 14 к1- зам. тяг. канатов, зам. лифт. Леб</t>
  </si>
  <si>
    <t>Диагнонстика лифтов</t>
  </si>
  <si>
    <t>Давыдова 14 к1-2 лифта, Циолкоского 10/6 п.7,8</t>
  </si>
  <si>
    <t>УКРиС</t>
  </si>
  <si>
    <t>ИТОГО</t>
  </si>
  <si>
    <t>Директор</t>
  </si>
  <si>
    <t>М.Е. Панин</t>
  </si>
  <si>
    <t>Главный бухгалтер</t>
  </si>
  <si>
    <t>Л.И. Еремеева</t>
  </si>
  <si>
    <t>Начальник ПТО</t>
  </si>
  <si>
    <t>М.В. Федосеева</t>
  </si>
  <si>
    <t>Сведения о выполненных работах по капитальному ремонту  жилья</t>
  </si>
  <si>
    <t>Год проведения капремонта</t>
  </si>
  <si>
    <t>Источник финансирования (тыс. руб)</t>
  </si>
  <si>
    <t xml:space="preserve"> собственники жилья</t>
  </si>
  <si>
    <t>привлеченные</t>
  </si>
  <si>
    <t>Бюджет города</t>
  </si>
  <si>
    <t>Областной бюджет</t>
  </si>
  <si>
    <t>Федеральный бюджет</t>
  </si>
  <si>
    <t>Бородинская 18</t>
  </si>
  <si>
    <t>Бородинская 22</t>
  </si>
  <si>
    <t>Бородинская 23</t>
  </si>
  <si>
    <t>Бородинская 15</t>
  </si>
  <si>
    <t>Бородинская 15а</t>
  </si>
  <si>
    <t>Бородинская 17</t>
  </si>
  <si>
    <t>Бородинская 17а</t>
  </si>
  <si>
    <t>Бородинская 21</t>
  </si>
  <si>
    <t>Бородинская 19</t>
  </si>
  <si>
    <t>Багратиона 15</t>
  </si>
  <si>
    <t>Багратиона 14</t>
  </si>
  <si>
    <t>Багратиона 16</t>
  </si>
  <si>
    <t>Багратиона 24</t>
  </si>
  <si>
    <t>Багратиона 16а</t>
  </si>
  <si>
    <t>Багратиона 28</t>
  </si>
  <si>
    <t xml:space="preserve">Давыдова 14 </t>
  </si>
  <si>
    <t>диагностика лифтов (2шт) 1 корп, лебедка, канат</t>
  </si>
  <si>
    <t>Дорохова 17</t>
  </si>
  <si>
    <t>Курчатова 19</t>
  </si>
  <si>
    <t>Курчатова 11/12</t>
  </si>
  <si>
    <t>Курчатова 17/5</t>
  </si>
  <si>
    <t>Курчатова 15</t>
  </si>
  <si>
    <t>Курчатова 13</t>
  </si>
  <si>
    <t>Курчатова 61</t>
  </si>
  <si>
    <t>Курчатова 61а</t>
  </si>
  <si>
    <t>Курчатова 61б</t>
  </si>
  <si>
    <t xml:space="preserve">Сосновая 2 </t>
  </si>
  <si>
    <t>1999-1989</t>
  </si>
  <si>
    <t>Сосновая 4</t>
  </si>
  <si>
    <t>Сосновая 1</t>
  </si>
  <si>
    <t>Сосновая 10б</t>
  </si>
  <si>
    <t>Сосновая 8а</t>
  </si>
  <si>
    <t>Сосновая 12</t>
  </si>
  <si>
    <t>Сосновая 10а</t>
  </si>
  <si>
    <t>Сосновая 10</t>
  </si>
  <si>
    <t>Сосновая 8</t>
  </si>
  <si>
    <t>Циолковского 18/9</t>
  </si>
  <si>
    <t>Циолковского 5</t>
  </si>
  <si>
    <t>Циолковского 1/22</t>
  </si>
  <si>
    <t>Циолковского 26</t>
  </si>
  <si>
    <t>Циолковского 24</t>
  </si>
  <si>
    <t>Циолковского 3</t>
  </si>
  <si>
    <t>Циолковского 7/11</t>
  </si>
  <si>
    <t>Циолковского 1</t>
  </si>
  <si>
    <t>Циолковского 16</t>
  </si>
  <si>
    <t>Циолковского 13а</t>
  </si>
  <si>
    <t>Циолковского 15а</t>
  </si>
  <si>
    <t>Циолковского 14</t>
  </si>
  <si>
    <t>Циолковского 9/16</t>
  </si>
  <si>
    <t>Циолковского 13в</t>
  </si>
  <si>
    <t>ремонт кровли</t>
  </si>
  <si>
    <t>Циолковского 13б</t>
  </si>
  <si>
    <t>Циолковского 12/20</t>
  </si>
  <si>
    <t>Циолковского 13</t>
  </si>
  <si>
    <t>Циолковского 15</t>
  </si>
  <si>
    <t>Циолковского 17б</t>
  </si>
  <si>
    <t>Циолковского 11</t>
  </si>
  <si>
    <t>Циолковского 11а</t>
  </si>
  <si>
    <t>Циолковского 17</t>
  </si>
  <si>
    <t>Циолковского 10/6</t>
  </si>
  <si>
    <t>диагностика лифтов 7под.-1шт, 8 под-1шт</t>
  </si>
  <si>
    <t>Вознаграждение УКРиС</t>
  </si>
  <si>
    <t xml:space="preserve">Директор </t>
  </si>
  <si>
    <t>М.Е.Панин</t>
  </si>
  <si>
    <t>530383  М.В. Федосеева</t>
  </si>
  <si>
    <t>по МУЖРП-9 за 2012 года</t>
  </si>
  <si>
    <r>
      <t>Предприятие</t>
    </r>
    <r>
      <rPr>
        <i/>
        <u val="single"/>
        <sz val="10"/>
        <rFont val="Times New Roman"/>
        <family val="1"/>
      </rPr>
      <t xml:space="preserve"> МУЖРП-9</t>
    </r>
  </si>
  <si>
    <t>Приложение №1</t>
  </si>
  <si>
    <r>
      <t xml:space="preserve">Дата отчета 28 декабря </t>
    </r>
    <r>
      <rPr>
        <i/>
        <u val="single"/>
        <sz val="10"/>
        <rFont val="Times New Roman"/>
        <family val="1"/>
      </rPr>
      <t>2012 года</t>
    </r>
  </si>
  <si>
    <t>к Постановлению Главы города</t>
  </si>
  <si>
    <r>
      <t xml:space="preserve">от </t>
    </r>
    <r>
      <rPr>
        <b/>
        <u val="single"/>
        <sz val="10"/>
        <rFont val="Times New Roman"/>
        <family val="1"/>
      </rPr>
      <t xml:space="preserve">23.04.2012г. </t>
    </r>
    <r>
      <rPr>
        <b/>
        <sz val="10"/>
        <rFont val="Times New Roman"/>
        <family val="1"/>
      </rPr>
      <t xml:space="preserve">№ </t>
    </r>
    <r>
      <rPr>
        <b/>
        <u val="single"/>
        <sz val="10"/>
        <rFont val="Times New Roman"/>
        <family val="1"/>
      </rPr>
      <t>651-п</t>
    </r>
  </si>
  <si>
    <t>СПРАВКА о ходе выполнения капитального ремонта жилищного фонда в 2012 году</t>
  </si>
  <si>
    <r>
      <t>по состоянию на 30</t>
    </r>
    <r>
      <rPr>
        <b/>
        <i/>
        <u val="single"/>
        <sz val="10"/>
        <rFont val="Times New Roman"/>
        <family val="1"/>
      </rPr>
      <t xml:space="preserve"> декабря по МУЖРП-9</t>
    </r>
  </si>
  <si>
    <t>( справка предоставляется на 15 и 30 число каждого месяца в период с мая по декабрь 2012 года,</t>
  </si>
  <si>
    <t>для предприятий, имеющих на балансе жилищный фонд)</t>
  </si>
  <si>
    <t>№</t>
  </si>
  <si>
    <t>ед. изм.</t>
  </si>
  <si>
    <t>Городской бюджет</t>
  </si>
  <si>
    <t>Средства собственников жилья</t>
  </si>
  <si>
    <t>Привлеченные средства</t>
  </si>
  <si>
    <t>ПЛАН</t>
  </si>
  <si>
    <t>ФАКТ</t>
  </si>
  <si>
    <t>натуральные показатели</t>
  </si>
  <si>
    <t>стоимость с НДС (тыс.руб.)</t>
  </si>
  <si>
    <t>стоимость с НДС  (тыс.руб.)</t>
  </si>
  <si>
    <t>стоимость  с НДС (тыс.руб.)</t>
  </si>
  <si>
    <t>Крыши</t>
  </si>
  <si>
    <t>1.1.</t>
  </si>
  <si>
    <t>Ремонт кровли, в т.ч.</t>
  </si>
  <si>
    <t>1.1.1.</t>
  </si>
  <si>
    <t>мягкая</t>
  </si>
  <si>
    <t>1.1.2.</t>
  </si>
  <si>
    <t>шиферная</t>
  </si>
  <si>
    <t>1.1.3.</t>
  </si>
  <si>
    <t>металлическая</t>
  </si>
  <si>
    <t>1.2.</t>
  </si>
  <si>
    <t>замена звеньев водосточных труб</t>
  </si>
  <si>
    <t>п.м.</t>
  </si>
  <si>
    <t>1.3.</t>
  </si>
  <si>
    <t>ремонт оголовков</t>
  </si>
  <si>
    <t>Сантехнические работы</t>
  </si>
  <si>
    <t>2.1.</t>
  </si>
  <si>
    <t>ЦО, в  т.ч.</t>
  </si>
  <si>
    <t>2.1.1.</t>
  </si>
  <si>
    <t>задвижки</t>
  </si>
  <si>
    <t>2.1.2.</t>
  </si>
  <si>
    <t>трубопрводы</t>
  </si>
  <si>
    <t>м</t>
  </si>
  <si>
    <t>2.1.3.</t>
  </si>
  <si>
    <t>вентиля, краны</t>
  </si>
  <si>
    <t>2.1.4.</t>
  </si>
  <si>
    <t xml:space="preserve">Замена отопительных приборов </t>
  </si>
  <si>
    <t>секц/ регис</t>
  </si>
  <si>
    <t>2.2.</t>
  </si>
  <si>
    <t>ГВС, в  т.ч.</t>
  </si>
  <si>
    <t>2.2.1.</t>
  </si>
  <si>
    <t>2.2.2.</t>
  </si>
  <si>
    <t>2.2.3.</t>
  </si>
  <si>
    <t>2.3.</t>
  </si>
  <si>
    <t>ХВС, в  т.ч.</t>
  </si>
  <si>
    <t>дом</t>
  </si>
  <si>
    <t>2.3.1.</t>
  </si>
  <si>
    <t>2.3.2.</t>
  </si>
  <si>
    <t>2.3.3.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</si>
  <si>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</si>
  <si>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</si>
  <si>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</si>
  <si>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</si>
  <si>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2.4.</t>
  </si>
  <si>
    <t>ВК, в  т.ч.</t>
  </si>
  <si>
    <t>2.4.1.</t>
  </si>
  <si>
    <t>2.4.2.</t>
  </si>
  <si>
    <t>колодцы</t>
  </si>
  <si>
    <t>шт.</t>
  </si>
  <si>
    <t>Лифты, в т.ч.</t>
  </si>
  <si>
    <t>3.1.</t>
  </si>
  <si>
    <t>замена</t>
  </si>
  <si>
    <t>3.2.</t>
  </si>
  <si>
    <t>ремонт</t>
  </si>
  <si>
    <t>3.3.</t>
  </si>
  <si>
    <t>диагностика</t>
  </si>
  <si>
    <t>3.4.</t>
  </si>
  <si>
    <t>диспетчерская связь</t>
  </si>
  <si>
    <t>ОСР</t>
  </si>
  <si>
    <t>4.1.</t>
  </si>
  <si>
    <t>Подъезды, в т.ч.</t>
  </si>
  <si>
    <t>ед.</t>
  </si>
  <si>
    <t>4.1.1.</t>
  </si>
  <si>
    <t>отремонтир. пов-ти</t>
  </si>
  <si>
    <t>4.1.2.</t>
  </si>
  <si>
    <t>заменено дверей</t>
  </si>
  <si>
    <t>4.1.3.</t>
  </si>
  <si>
    <t>заменено окон.блоков</t>
  </si>
  <si>
    <t>4.1.4.</t>
  </si>
  <si>
    <t>застеклено</t>
  </si>
  <si>
    <t>4.2.</t>
  </si>
  <si>
    <t>Квартиры</t>
  </si>
  <si>
    <t>Фасады, в т.ч.</t>
  </si>
  <si>
    <t>5.1.</t>
  </si>
  <si>
    <t>швы</t>
  </si>
  <si>
    <t>5.2.</t>
  </si>
  <si>
    <t>балконы</t>
  </si>
  <si>
    <t>5.3.</t>
  </si>
  <si>
    <t>крыльца</t>
  </si>
  <si>
    <t>5.4.</t>
  </si>
  <si>
    <t>стены</t>
  </si>
  <si>
    <t>Электроработы</t>
  </si>
  <si>
    <t>6.1.</t>
  </si>
  <si>
    <t>электромонтаж.работы</t>
  </si>
  <si>
    <t>6.2.</t>
  </si>
  <si>
    <t>эл. проводка</t>
  </si>
  <si>
    <t>6.3.</t>
  </si>
  <si>
    <t>ВРУ (эл.щиты)</t>
  </si>
  <si>
    <t>7</t>
  </si>
  <si>
    <t>Установка приборов учета</t>
  </si>
  <si>
    <t>7.1.</t>
  </si>
  <si>
    <t>на ХВС</t>
  </si>
  <si>
    <t>7.2.</t>
  </si>
  <si>
    <t>на ГВС</t>
  </si>
  <si>
    <t>7.3.</t>
  </si>
  <si>
    <t>на ЦО</t>
  </si>
  <si>
    <t>7.4.</t>
  </si>
  <si>
    <t xml:space="preserve">эл.энергии </t>
  </si>
  <si>
    <t>Газ.оборудование</t>
  </si>
  <si>
    <t>Прочие (вознагражд. УКРиС)</t>
  </si>
  <si>
    <t>530383 М.В. Федосеева</t>
  </si>
  <si>
    <t>Приложение №2</t>
  </si>
  <si>
    <t>Предприятие МУЖРП-9</t>
  </si>
  <si>
    <t>к  Постановлению Главы города</t>
  </si>
  <si>
    <t>Дата отчета 10 декабря  2012 года</t>
  </si>
  <si>
    <t>от   23.04.2012 г.   №  651-П</t>
  </si>
  <si>
    <t>СПРАВКА  о  ходе  выполнения текущего  ремонта  жилищного  фонда  в  2012 году</t>
  </si>
  <si>
    <r>
      <t>по  состоянию  на 15 января</t>
    </r>
    <r>
      <rPr>
        <i/>
        <u val="single"/>
        <sz val="10"/>
        <rFont val="Arial Cyr"/>
        <family val="0"/>
      </rPr>
      <t xml:space="preserve"> 2013 года</t>
    </r>
  </si>
  <si>
    <t>(справка  предоставляется  на  15 и 30 число  каждого  месяца  в  период  с  мая  по  декабрь  2012 года  для  предприятий,  имеющих  на  балансе  жилищный  фонд)</t>
  </si>
  <si>
    <t>№ пп</t>
  </si>
  <si>
    <t>Виды  работ</t>
  </si>
  <si>
    <t>хоз.способ</t>
  </si>
  <si>
    <t>подряд</t>
  </si>
  <si>
    <t>план</t>
  </si>
  <si>
    <t>факт</t>
  </si>
  <si>
    <t>стоимость (тыс.руб.)</t>
  </si>
  <si>
    <t>1.1</t>
  </si>
  <si>
    <t>Ремонт кровли всего,  в т.ч.</t>
  </si>
  <si>
    <t xml:space="preserve"> </t>
  </si>
  <si>
    <t>1.1.1</t>
  </si>
  <si>
    <t>1.1.2</t>
  </si>
  <si>
    <t>1.1.3</t>
  </si>
  <si>
    <t>1.2</t>
  </si>
  <si>
    <t>замена звеньев  водосточных  труб</t>
  </si>
  <si>
    <t>п.м</t>
  </si>
  <si>
    <t>1.3</t>
  </si>
  <si>
    <t>ремонт  оголовков</t>
  </si>
  <si>
    <t>2</t>
  </si>
  <si>
    <t>2.1</t>
  </si>
  <si>
    <t>ЦО,   в  т.ч.</t>
  </si>
  <si>
    <t>2.1.1</t>
  </si>
  <si>
    <t>2.1.2</t>
  </si>
  <si>
    <t>трубопроводы</t>
  </si>
  <si>
    <t xml:space="preserve">м </t>
  </si>
  <si>
    <t>2.1.3</t>
  </si>
  <si>
    <t>полотенцесушители</t>
  </si>
  <si>
    <t>2.1.4</t>
  </si>
  <si>
    <t>2.1.5</t>
  </si>
  <si>
    <t>Замена  отопительных  приборов,  в  т.ч.</t>
  </si>
  <si>
    <t>секц.</t>
  </si>
  <si>
    <t>на  лестничных  площадках</t>
  </si>
  <si>
    <t>в  квартирах</t>
  </si>
  <si>
    <t>2.2</t>
  </si>
  <si>
    <t>ГВС,   в  т.ч.</t>
  </si>
  <si>
    <t>2.2.1</t>
  </si>
  <si>
    <t>2.2.2</t>
  </si>
  <si>
    <t>2.2.3</t>
  </si>
  <si>
    <t>2.2.4</t>
  </si>
  <si>
    <t>2.3</t>
  </si>
  <si>
    <t>ХВС,   в  т.ч</t>
  </si>
  <si>
    <t>2.3.1</t>
  </si>
  <si>
    <t>2.3.2</t>
  </si>
  <si>
    <t>2.3.3</t>
  </si>
  <si>
    <t>2.4</t>
  </si>
  <si>
    <t>Изоляция  трубопроводов                                     на  технических  этажах,  в  т.ч.</t>
  </si>
  <si>
    <t>2.4.1</t>
  </si>
  <si>
    <t>чердачные  помещения</t>
  </si>
  <si>
    <t>2.4.2</t>
  </si>
  <si>
    <t>подвальные  помещения</t>
  </si>
  <si>
    <t>2.5</t>
  </si>
  <si>
    <t>ВК,   в  т.ч.</t>
  </si>
  <si>
    <t>2.5.1</t>
  </si>
  <si>
    <t>3</t>
  </si>
  <si>
    <t>Лифты,   в  т.ч.</t>
  </si>
  <si>
    <t>3.1</t>
  </si>
  <si>
    <t xml:space="preserve">ремонт  </t>
  </si>
  <si>
    <t>3.2</t>
  </si>
  <si>
    <t>4</t>
  </si>
  <si>
    <t>ОСР,   в  т.ч.</t>
  </si>
  <si>
    <t>4.1</t>
  </si>
  <si>
    <t>Подъезды,  в  т.ч.</t>
  </si>
  <si>
    <t xml:space="preserve">ед.  </t>
  </si>
  <si>
    <t>4.1.1</t>
  </si>
  <si>
    <t>4.1.2</t>
  </si>
  <si>
    <t>заменено  дверей</t>
  </si>
  <si>
    <t>4.1.3</t>
  </si>
  <si>
    <t>4.1.4</t>
  </si>
  <si>
    <t>4.2</t>
  </si>
  <si>
    <t>5</t>
  </si>
  <si>
    <t>Фасады,   в  т.ч.</t>
  </si>
  <si>
    <t>5.1</t>
  </si>
  <si>
    <t>5.2</t>
  </si>
  <si>
    <t>балконы (плиты, ограждения)</t>
  </si>
  <si>
    <t>5.3</t>
  </si>
  <si>
    <r>
      <t xml:space="preserve">крыльца </t>
    </r>
    <r>
      <rPr>
        <sz val="8"/>
        <rFont val="Arial Cyr"/>
        <family val="0"/>
      </rPr>
      <t>(козыр., ступени, ограждения)</t>
    </r>
  </si>
  <si>
    <t>5.4</t>
  </si>
  <si>
    <t>цоколи</t>
  </si>
  <si>
    <t>5.5</t>
  </si>
  <si>
    <t>отмостки</t>
  </si>
  <si>
    <t>6</t>
  </si>
  <si>
    <t>Электромонтажные   работы</t>
  </si>
  <si>
    <t>6.1</t>
  </si>
  <si>
    <t>эл.проводка</t>
  </si>
  <si>
    <t>6.2</t>
  </si>
  <si>
    <t>6.3</t>
  </si>
  <si>
    <t>замеры сопротивления изоляции, контура заземления, фазы-ноль</t>
  </si>
  <si>
    <t>Установка  приборов  учета,   в  т.ч.</t>
  </si>
  <si>
    <t>7.1</t>
  </si>
  <si>
    <t>на  ХВС</t>
  </si>
  <si>
    <t>7.2</t>
  </si>
  <si>
    <t>на  ГВС</t>
  </si>
  <si>
    <t>7.3</t>
  </si>
  <si>
    <t>на  ЦО</t>
  </si>
  <si>
    <t>7.4</t>
  </si>
  <si>
    <t>8</t>
  </si>
  <si>
    <t>Мероприятия  по  пожарной  безопасности,   в  т.ч.</t>
  </si>
  <si>
    <t>8.1</t>
  </si>
  <si>
    <t>Восстановление системы внутреннего пожарного водопровода</t>
  </si>
  <si>
    <t>8.2</t>
  </si>
  <si>
    <t>Комплектация  этажных  противопожарных  шкафов</t>
  </si>
  <si>
    <t>шкаф</t>
  </si>
  <si>
    <t>9</t>
  </si>
  <si>
    <r>
      <t xml:space="preserve">Прочие </t>
    </r>
    <r>
      <rPr>
        <sz val="10"/>
        <rFont val="Arial Cyr"/>
        <family val="0"/>
      </rPr>
      <t>+инструмент</t>
    </r>
  </si>
  <si>
    <t>ВСЕГО:</t>
  </si>
  <si>
    <t>530383 М.В.Федосеева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</si>
</sst>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u val="single"/>
      <sz val="10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1" xfId="0" applyFont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15" xfId="0" applyNumberFormat="1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2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6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9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0" xfId="0" applyFont="1" applyFill="1" applyAlignment="1">
      <alignment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18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5" xfId="0" applyFill="1" applyBorder="1" applyAlignment="1">
      <alignment/>
    </xf>
    <xf numFmtId="0" fontId="20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2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/>
    </xf>
    <xf numFmtId="0" fontId="1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9" fontId="18" fillId="0" borderId="29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/>
    </xf>
    <xf numFmtId="49" fontId="20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9;&#1046;&#1056;&#1055;%209\&#1053;&#1086;&#1074;&#1072;&#1103;%20&#1087;&#1072;&#1087;&#1082;&#1072;\&#1058;&#1077;&#1082;&#1091;&#1097;%20&#1078;&#1080;&#1083;%20&#1092;&#1086;&#1085;&#1076;&#1072;%20&#1057;&#1055;&#1056;&#1040;&#1042;&#1050;&#1040;\&#1053;&#1086;&#1074;&#1072;&#1103;%20&#1087;&#1072;&#1087;&#1082;&#1072;\&#1058;&#1077;&#1082;&#1097;&#1080;&#1081;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 12"/>
      <sheetName val="февр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б"/>
      <sheetName val="декаб"/>
    </sheetNames>
    <sheetDataSet>
      <sheetData sheetId="11">
        <row r="70">
          <cell r="G70">
            <v>2498.458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5.28125" style="3" customWidth="1"/>
    <col min="2" max="3" width="9.140625" style="3" customWidth="1"/>
    <col min="4" max="4" width="4.00390625" style="3" customWidth="1"/>
    <col min="5" max="5" width="7.57421875" style="3" customWidth="1"/>
    <col min="6" max="6" width="11.140625" style="3" customWidth="1"/>
    <col min="7" max="7" width="22.00390625" style="3" customWidth="1"/>
    <col min="8" max="8" width="5.7109375" style="3" customWidth="1"/>
    <col min="9" max="9" width="9.140625" style="3" customWidth="1"/>
    <col min="10" max="10" width="12.57421875" style="3" customWidth="1"/>
    <col min="11" max="11" width="10.421875" style="3" customWidth="1"/>
    <col min="12" max="12" width="12.57421875" style="3" customWidth="1"/>
    <col min="13" max="13" width="15.00390625" style="3" customWidth="1"/>
    <col min="14" max="16384" width="9.140625" style="3" customWidth="1"/>
  </cols>
  <sheetData>
    <row r="1" spans="1:13" ht="22.5" customHeight="1">
      <c r="A1" s="1"/>
      <c r="B1" s="2"/>
      <c r="C1" s="2"/>
      <c r="D1" s="2"/>
      <c r="E1" s="2"/>
      <c r="F1" s="2"/>
      <c r="I1" s="204" t="s">
        <v>0</v>
      </c>
      <c r="J1" s="204"/>
      <c r="K1" s="204"/>
      <c r="L1" s="205"/>
      <c r="M1" s="4"/>
    </row>
    <row r="2" spans="1:13" ht="16.5" customHeight="1">
      <c r="A2" s="1"/>
      <c r="B2" s="2"/>
      <c r="C2" s="2"/>
      <c r="D2" s="2"/>
      <c r="E2" s="2"/>
      <c r="F2" s="2"/>
      <c r="I2" s="204" t="s">
        <v>1</v>
      </c>
      <c r="J2" s="204"/>
      <c r="K2" s="204"/>
      <c r="L2" s="205"/>
      <c r="M2" s="4"/>
    </row>
    <row r="3" spans="1:13" ht="22.5" customHeight="1">
      <c r="A3" s="1"/>
      <c r="B3" s="2"/>
      <c r="C3" s="2"/>
      <c r="D3" s="2"/>
      <c r="E3" s="2"/>
      <c r="F3" s="2"/>
      <c r="I3" s="4"/>
      <c r="J3" s="4"/>
      <c r="K3" s="4"/>
      <c r="L3" s="4"/>
      <c r="M3" s="4"/>
    </row>
    <row r="4" spans="1:13" ht="15">
      <c r="A4" s="206" t="s">
        <v>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" customHeight="1">
      <c r="A6" s="206" t="s">
        <v>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8" spans="1:13" ht="12.75" customHeight="1">
      <c r="A8" s="202" t="s">
        <v>5</v>
      </c>
      <c r="B8" s="202" t="s">
        <v>6</v>
      </c>
      <c r="C8" s="203"/>
      <c r="D8" s="203"/>
      <c r="E8" s="202" t="s">
        <v>7</v>
      </c>
      <c r="F8" s="202" t="s">
        <v>8</v>
      </c>
      <c r="G8" s="202" t="s">
        <v>9</v>
      </c>
      <c r="H8" s="202" t="s">
        <v>10</v>
      </c>
      <c r="I8" s="202" t="s">
        <v>11</v>
      </c>
      <c r="J8" s="202" t="s">
        <v>12</v>
      </c>
      <c r="K8" s="202" t="s">
        <v>13</v>
      </c>
      <c r="L8" s="202" t="s">
        <v>14</v>
      </c>
      <c r="M8" s="202" t="s">
        <v>15</v>
      </c>
    </row>
    <row r="9" spans="1:13" ht="12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47.2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15">
      <c r="A11" s="5">
        <v>1</v>
      </c>
      <c r="B11" s="197">
        <v>2</v>
      </c>
      <c r="C11" s="197"/>
      <c r="D11" s="197"/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/>
      <c r="L11" s="5"/>
      <c r="M11" s="5">
        <v>9</v>
      </c>
    </row>
    <row r="12" spans="1:13" ht="16.5" customHeight="1">
      <c r="A12" s="6">
        <v>1</v>
      </c>
      <c r="B12" s="198" t="s">
        <v>16</v>
      </c>
      <c r="C12" s="198"/>
      <c r="D12" s="198"/>
      <c r="E12" s="7">
        <v>1973</v>
      </c>
      <c r="F12" s="7">
        <v>6185.3</v>
      </c>
      <c r="G12" s="8" t="s">
        <v>17</v>
      </c>
      <c r="H12" s="9" t="s">
        <v>18</v>
      </c>
      <c r="I12" s="8">
        <v>1805</v>
      </c>
      <c r="J12" s="10">
        <f>1824.264</f>
        <v>1824.264</v>
      </c>
      <c r="K12" s="8">
        <v>1805</v>
      </c>
      <c r="L12" s="11">
        <f>1805949.88/1000</f>
        <v>1805.94988</v>
      </c>
      <c r="M12" s="12"/>
    </row>
    <row r="13" spans="1:13" ht="40.5" customHeight="1">
      <c r="A13" s="13">
        <f>A12+1</f>
        <v>2</v>
      </c>
      <c r="B13" s="199" t="s">
        <v>19</v>
      </c>
      <c r="C13" s="199"/>
      <c r="D13" s="199"/>
      <c r="E13" s="14"/>
      <c r="F13" s="14"/>
      <c r="G13" s="15" t="s">
        <v>20</v>
      </c>
      <c r="H13" s="16" t="s">
        <v>21</v>
      </c>
      <c r="I13" s="15"/>
      <c r="J13" s="15">
        <f>234.59+9.12</f>
        <v>243.71</v>
      </c>
      <c r="K13" s="15"/>
      <c r="L13" s="17">
        <f>(202751.14+54164.71)/1000</f>
        <v>256.91585</v>
      </c>
      <c r="M13" s="18" t="s">
        <v>22</v>
      </c>
    </row>
    <row r="14" spans="1:13" ht="63" customHeight="1">
      <c r="A14" s="19">
        <f>A13+1</f>
        <v>3</v>
      </c>
      <c r="B14" s="199"/>
      <c r="C14" s="199"/>
      <c r="D14" s="199"/>
      <c r="E14" s="14"/>
      <c r="F14" s="14"/>
      <c r="G14" s="15" t="s">
        <v>23</v>
      </c>
      <c r="H14" s="16" t="s">
        <v>21</v>
      </c>
      <c r="I14" s="15">
        <v>4</v>
      </c>
      <c r="J14" s="15">
        <v>122.168</v>
      </c>
      <c r="K14" s="15">
        <v>4</v>
      </c>
      <c r="L14" s="20">
        <f>(56190.94+65977.14)/1000</f>
        <v>122.16808</v>
      </c>
      <c r="M14" s="18" t="s">
        <v>24</v>
      </c>
    </row>
    <row r="15" spans="1:13" ht="63" customHeight="1">
      <c r="A15" s="19">
        <f>A14+1</f>
        <v>4</v>
      </c>
      <c r="B15" s="199" t="s">
        <v>25</v>
      </c>
      <c r="C15" s="199"/>
      <c r="D15" s="199"/>
      <c r="E15" s="14"/>
      <c r="F15" s="14"/>
      <c r="G15" s="15"/>
      <c r="H15" s="16"/>
      <c r="I15" s="15"/>
      <c r="J15" s="20">
        <f>J12*2%</f>
        <v>36.485279999999996</v>
      </c>
      <c r="K15" s="15"/>
      <c r="L15" s="20">
        <v>36.12</v>
      </c>
      <c r="M15" s="18"/>
    </row>
    <row r="16" spans="1:13" ht="18" customHeight="1">
      <c r="A16" s="21"/>
      <c r="B16" s="200" t="s">
        <v>26</v>
      </c>
      <c r="C16" s="200"/>
      <c r="D16" s="200"/>
      <c r="E16" s="22"/>
      <c r="F16" s="22"/>
      <c r="G16" s="23"/>
      <c r="H16" s="23"/>
      <c r="I16" s="23"/>
      <c r="J16" s="24">
        <f>SUM(J12:J15)</f>
        <v>2226.6272799999997</v>
      </c>
      <c r="K16" s="24"/>
      <c r="L16" s="24">
        <f>SUM(L12:L15)</f>
        <v>2221.15381</v>
      </c>
      <c r="M16" s="25">
        <f>L16-J16</f>
        <v>-5.473469999999907</v>
      </c>
    </row>
    <row r="18" spans="2:10" s="26" customFormat="1" ht="12.75">
      <c r="B18" s="27"/>
      <c r="C18" s="27"/>
      <c r="D18" s="27"/>
      <c r="J18" s="28"/>
    </row>
    <row r="19" spans="5:12" ht="12.75">
      <c r="E19" s="26"/>
      <c r="F19" s="26"/>
      <c r="G19" s="26"/>
      <c r="J19" s="29"/>
      <c r="K19" s="29"/>
      <c r="L19" s="29"/>
    </row>
    <row r="20" spans="2:13" ht="32.25" customHeight="1">
      <c r="B20" s="30" t="s">
        <v>27</v>
      </c>
      <c r="C20" s="30"/>
      <c r="D20" s="30"/>
      <c r="E20" s="31"/>
      <c r="F20" s="30"/>
      <c r="G20" s="30"/>
      <c r="H20" s="30"/>
      <c r="I20" s="196" t="s">
        <v>28</v>
      </c>
      <c r="J20" s="196"/>
      <c r="K20" s="32"/>
      <c r="L20" s="32"/>
      <c r="M20" s="33"/>
    </row>
    <row r="21" spans="2:13" ht="32.25" customHeight="1">
      <c r="B21" s="30" t="s">
        <v>29</v>
      </c>
      <c r="C21" s="30"/>
      <c r="D21" s="30"/>
      <c r="E21" s="31"/>
      <c r="F21" s="30"/>
      <c r="G21" s="30"/>
      <c r="H21" s="30"/>
      <c r="I21" s="196" t="s">
        <v>30</v>
      </c>
      <c r="J21" s="196" t="s">
        <v>30</v>
      </c>
      <c r="K21" s="32"/>
      <c r="L21" s="32"/>
      <c r="M21" s="33"/>
    </row>
    <row r="22" spans="2:13" ht="32.25" customHeight="1">
      <c r="B22" s="30" t="s">
        <v>31</v>
      </c>
      <c r="C22" s="30"/>
      <c r="D22" s="30"/>
      <c r="E22" s="31"/>
      <c r="F22" s="30"/>
      <c r="G22" s="30"/>
      <c r="H22" s="30"/>
      <c r="I22" s="196" t="s">
        <v>32</v>
      </c>
      <c r="J22" s="196" t="s">
        <v>32</v>
      </c>
      <c r="K22" s="32"/>
      <c r="L22" s="32"/>
      <c r="M22" s="33"/>
    </row>
    <row r="23" spans="2:13" ht="14.25">
      <c r="B23" s="30"/>
      <c r="C23" s="30"/>
      <c r="D23" s="30"/>
      <c r="E23" s="30"/>
      <c r="F23" s="30"/>
      <c r="G23" s="30"/>
      <c r="H23" s="30"/>
      <c r="I23" s="32"/>
      <c r="J23" s="32"/>
      <c r="K23" s="32"/>
      <c r="L23" s="32"/>
      <c r="M23" s="30"/>
    </row>
    <row r="24" spans="1:13" ht="19.5" customHeight="1">
      <c r="A24" s="201"/>
      <c r="B24" s="201"/>
      <c r="C24" s="201"/>
      <c r="D24" s="30"/>
      <c r="E24" s="30"/>
      <c r="F24" s="30"/>
      <c r="G24" s="30"/>
      <c r="H24" s="30"/>
      <c r="I24" s="196"/>
      <c r="J24" s="196"/>
      <c r="K24" s="32"/>
      <c r="L24" s="32"/>
      <c r="M24" s="30"/>
    </row>
    <row r="25" spans="2:13" ht="33" customHeight="1">
      <c r="B25" s="30"/>
      <c r="C25" s="30"/>
      <c r="D25" s="30"/>
      <c r="E25" s="30"/>
      <c r="F25" s="30"/>
      <c r="G25" s="30"/>
      <c r="H25" s="30"/>
      <c r="I25" s="196"/>
      <c r="J25" s="196"/>
      <c r="K25" s="32"/>
      <c r="L25" s="32"/>
      <c r="M25" s="34"/>
    </row>
    <row r="26" spans="2:13" ht="14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/>
  <mergeCells count="28">
    <mergeCell ref="I8:I10"/>
    <mergeCell ref="J8:J10"/>
    <mergeCell ref="K8:K10"/>
    <mergeCell ref="L8:L10"/>
    <mergeCell ref="E8:E10"/>
    <mergeCell ref="F8:F10"/>
    <mergeCell ref="G8:G10"/>
    <mergeCell ref="H8:H10"/>
    <mergeCell ref="A24:C24"/>
    <mergeCell ref="I24:J24"/>
    <mergeCell ref="M8:M10"/>
    <mergeCell ref="I1:L1"/>
    <mergeCell ref="I2:L2"/>
    <mergeCell ref="A4:M4"/>
    <mergeCell ref="A5:M5"/>
    <mergeCell ref="A6:M6"/>
    <mergeCell ref="A8:A10"/>
    <mergeCell ref="B8:D10"/>
    <mergeCell ref="I25:J25"/>
    <mergeCell ref="B11:D11"/>
    <mergeCell ref="B12:D12"/>
    <mergeCell ref="B13:D13"/>
    <mergeCell ref="B14:D14"/>
    <mergeCell ref="B15:D15"/>
    <mergeCell ref="B16:D16"/>
    <mergeCell ref="I20:J20"/>
    <mergeCell ref="I21:J21"/>
    <mergeCell ref="I22:J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52">
      <selection activeCell="H3" sqref="H3"/>
    </sheetView>
  </sheetViews>
  <sheetFormatPr defaultColWidth="9.140625" defaultRowHeight="15"/>
  <cols>
    <col min="1" max="1" width="4.28125" style="35" customWidth="1"/>
    <col min="2" max="2" width="9.140625" style="35" customWidth="1"/>
    <col min="3" max="3" width="8.421875" style="35" customWidth="1"/>
    <col min="4" max="4" width="2.28125" style="35" hidden="1" customWidth="1"/>
    <col min="5" max="5" width="7.28125" style="35" customWidth="1"/>
    <col min="6" max="6" width="9.140625" style="35" customWidth="1"/>
    <col min="7" max="7" width="28.28125" style="35" customWidth="1"/>
    <col min="8" max="8" width="6.140625" style="35" customWidth="1"/>
    <col min="9" max="9" width="6.8515625" style="35" customWidth="1"/>
    <col min="10" max="14" width="9.140625" style="35" customWidth="1"/>
    <col min="15" max="15" width="14.140625" style="35" customWidth="1"/>
    <col min="16" max="16384" width="9.140625" style="35" customWidth="1"/>
  </cols>
  <sheetData>
    <row r="1" spans="12:14" ht="12">
      <c r="L1" s="222" t="s">
        <v>0</v>
      </c>
      <c r="M1" s="222"/>
      <c r="N1" s="222"/>
    </row>
    <row r="2" spans="12:14" ht="12">
      <c r="L2" s="222" t="s">
        <v>1</v>
      </c>
      <c r="M2" s="222"/>
      <c r="N2" s="222"/>
    </row>
    <row r="5" spans="1:15" ht="12">
      <c r="A5" s="223" t="s">
        <v>33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2">
      <c r="A6" s="223" t="s">
        <v>106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10" spans="1:15" ht="12.75" customHeight="1">
      <c r="A10" s="215" t="s">
        <v>5</v>
      </c>
      <c r="B10" s="215" t="s">
        <v>6</v>
      </c>
      <c r="C10" s="216"/>
      <c r="D10" s="216"/>
      <c r="E10" s="211" t="s">
        <v>7</v>
      </c>
      <c r="F10" s="211" t="s">
        <v>34</v>
      </c>
      <c r="G10" s="215" t="s">
        <v>9</v>
      </c>
      <c r="H10" s="211" t="s">
        <v>10</v>
      </c>
      <c r="I10" s="211" t="s">
        <v>11</v>
      </c>
      <c r="J10" s="212" t="s">
        <v>35</v>
      </c>
      <c r="K10" s="213"/>
      <c r="L10" s="213"/>
      <c r="M10" s="213"/>
      <c r="N10" s="214"/>
      <c r="O10" s="215" t="s">
        <v>15</v>
      </c>
    </row>
    <row r="11" spans="1:15" ht="12">
      <c r="A11" s="216"/>
      <c r="B11" s="216"/>
      <c r="C11" s="216"/>
      <c r="D11" s="216"/>
      <c r="E11" s="211"/>
      <c r="F11" s="211"/>
      <c r="G11" s="216"/>
      <c r="H11" s="211"/>
      <c r="I11" s="211"/>
      <c r="J11" s="211" t="s">
        <v>36</v>
      </c>
      <c r="K11" s="211" t="s">
        <v>37</v>
      </c>
      <c r="L11" s="211" t="s">
        <v>38</v>
      </c>
      <c r="M11" s="211" t="s">
        <v>39</v>
      </c>
      <c r="N11" s="211" t="s">
        <v>40</v>
      </c>
      <c r="O11" s="216"/>
    </row>
    <row r="12" spans="1:15" ht="47.25" customHeight="1">
      <c r="A12" s="216"/>
      <c r="B12" s="216"/>
      <c r="C12" s="216"/>
      <c r="D12" s="216"/>
      <c r="E12" s="211"/>
      <c r="F12" s="211"/>
      <c r="G12" s="216"/>
      <c r="H12" s="211"/>
      <c r="I12" s="211"/>
      <c r="J12" s="211"/>
      <c r="K12" s="211"/>
      <c r="L12" s="211"/>
      <c r="M12" s="211"/>
      <c r="N12" s="211"/>
      <c r="O12" s="216"/>
    </row>
    <row r="13" spans="1:15" ht="12">
      <c r="A13" s="36">
        <v>1</v>
      </c>
      <c r="B13" s="217">
        <v>2</v>
      </c>
      <c r="C13" s="217"/>
      <c r="D13" s="217"/>
      <c r="E13" s="36">
        <v>3</v>
      </c>
      <c r="F13" s="36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</row>
    <row r="14" spans="1:15" ht="12">
      <c r="A14" s="37">
        <v>1</v>
      </c>
      <c r="B14" s="218" t="s">
        <v>41</v>
      </c>
      <c r="C14" s="219"/>
      <c r="D14" s="219"/>
      <c r="E14" s="38">
        <v>1969</v>
      </c>
      <c r="F14" s="39"/>
      <c r="G14" s="39"/>
      <c r="H14" s="40"/>
      <c r="I14" s="39"/>
      <c r="J14" s="39"/>
      <c r="K14" s="39"/>
      <c r="L14" s="39"/>
      <c r="M14" s="39"/>
      <c r="N14" s="39"/>
      <c r="O14" s="41"/>
    </row>
    <row r="15" spans="1:15" ht="12">
      <c r="A15" s="42">
        <f aca="true" t="shared" si="0" ref="A15:A70">A14+1</f>
        <v>2</v>
      </c>
      <c r="B15" s="220" t="s">
        <v>42</v>
      </c>
      <c r="C15" s="221"/>
      <c r="D15" s="221"/>
      <c r="E15" s="43">
        <v>1975</v>
      </c>
      <c r="F15" s="44"/>
      <c r="G15" s="44"/>
      <c r="H15" s="45"/>
      <c r="I15" s="44"/>
      <c r="J15" s="44"/>
      <c r="K15" s="44"/>
      <c r="L15" s="44"/>
      <c r="M15" s="44"/>
      <c r="N15" s="44"/>
      <c r="O15" s="46"/>
    </row>
    <row r="16" spans="1:15" ht="12">
      <c r="A16" s="42">
        <f t="shared" si="0"/>
        <v>3</v>
      </c>
      <c r="B16" s="207" t="s">
        <v>43</v>
      </c>
      <c r="C16" s="208"/>
      <c r="D16" s="208"/>
      <c r="E16" s="47">
        <v>1964</v>
      </c>
      <c r="F16" s="44"/>
      <c r="G16" s="44"/>
      <c r="H16" s="45"/>
      <c r="I16" s="44"/>
      <c r="J16" s="44"/>
      <c r="K16" s="44"/>
      <c r="L16" s="44"/>
      <c r="M16" s="44"/>
      <c r="N16" s="44"/>
      <c r="O16" s="46"/>
    </row>
    <row r="17" spans="1:15" ht="12">
      <c r="A17" s="42">
        <f t="shared" si="0"/>
        <v>4</v>
      </c>
      <c r="B17" s="207" t="s">
        <v>44</v>
      </c>
      <c r="C17" s="208"/>
      <c r="D17" s="208"/>
      <c r="E17" s="47">
        <v>1960</v>
      </c>
      <c r="F17" s="44"/>
      <c r="G17" s="44"/>
      <c r="H17" s="45"/>
      <c r="I17" s="44"/>
      <c r="J17" s="44"/>
      <c r="K17" s="44"/>
      <c r="L17" s="44"/>
      <c r="M17" s="44"/>
      <c r="N17" s="44"/>
      <c r="O17" s="46"/>
    </row>
    <row r="18" spans="1:15" ht="12">
      <c r="A18" s="42">
        <f t="shared" si="0"/>
        <v>5</v>
      </c>
      <c r="B18" s="207" t="s">
        <v>45</v>
      </c>
      <c r="C18" s="208"/>
      <c r="D18" s="208"/>
      <c r="E18" s="47">
        <v>1962</v>
      </c>
      <c r="F18" s="44"/>
      <c r="G18" s="44"/>
      <c r="H18" s="45"/>
      <c r="I18" s="44"/>
      <c r="J18" s="44"/>
      <c r="K18" s="44"/>
      <c r="L18" s="44"/>
      <c r="M18" s="44"/>
      <c r="N18" s="44"/>
      <c r="O18" s="46"/>
    </row>
    <row r="19" spans="1:15" ht="12">
      <c r="A19" s="42">
        <f t="shared" si="0"/>
        <v>6</v>
      </c>
      <c r="B19" s="209" t="s">
        <v>46</v>
      </c>
      <c r="C19" s="210"/>
      <c r="D19" s="210"/>
      <c r="E19" s="47">
        <v>1961</v>
      </c>
      <c r="F19" s="44"/>
      <c r="G19" s="44"/>
      <c r="H19" s="45"/>
      <c r="I19" s="44"/>
      <c r="J19" s="44"/>
      <c r="K19" s="44"/>
      <c r="L19" s="44"/>
      <c r="M19" s="44"/>
      <c r="N19" s="44"/>
      <c r="O19" s="46"/>
    </row>
    <row r="20" spans="1:15" ht="12">
      <c r="A20" s="42">
        <f t="shared" si="0"/>
        <v>7</v>
      </c>
      <c r="B20" s="207" t="s">
        <v>47</v>
      </c>
      <c r="C20" s="208"/>
      <c r="D20" s="208"/>
      <c r="E20" s="47">
        <v>1968</v>
      </c>
      <c r="F20" s="44"/>
      <c r="G20" s="44"/>
      <c r="H20" s="45"/>
      <c r="I20" s="44"/>
      <c r="J20" s="44"/>
      <c r="K20" s="44"/>
      <c r="L20" s="44"/>
      <c r="M20" s="44"/>
      <c r="N20" s="44"/>
      <c r="O20" s="46"/>
    </row>
    <row r="21" spans="1:15" ht="12">
      <c r="A21" s="48">
        <f t="shared" si="0"/>
        <v>8</v>
      </c>
      <c r="B21" s="207" t="s">
        <v>48</v>
      </c>
      <c r="C21" s="208"/>
      <c r="D21" s="208"/>
      <c r="E21" s="47">
        <v>1963</v>
      </c>
      <c r="F21" s="44"/>
      <c r="G21" s="44"/>
      <c r="H21" s="45"/>
      <c r="I21" s="44"/>
      <c r="J21" s="44"/>
      <c r="K21" s="44"/>
      <c r="L21" s="44"/>
      <c r="M21" s="44"/>
      <c r="N21" s="44"/>
      <c r="O21" s="46"/>
    </row>
    <row r="22" spans="1:15" ht="12">
      <c r="A22" s="48">
        <f t="shared" si="0"/>
        <v>9</v>
      </c>
      <c r="B22" s="207" t="s">
        <v>49</v>
      </c>
      <c r="C22" s="208"/>
      <c r="D22" s="208"/>
      <c r="E22" s="47">
        <v>1963</v>
      </c>
      <c r="F22" s="44"/>
      <c r="G22" s="44"/>
      <c r="H22" s="45"/>
      <c r="I22" s="44"/>
      <c r="J22" s="44"/>
      <c r="K22" s="44"/>
      <c r="L22" s="44"/>
      <c r="M22" s="44"/>
      <c r="N22" s="44"/>
      <c r="O22" s="46"/>
    </row>
    <row r="23" spans="1:15" ht="12">
      <c r="A23" s="42">
        <f t="shared" si="0"/>
        <v>10</v>
      </c>
      <c r="B23" s="207" t="s">
        <v>50</v>
      </c>
      <c r="C23" s="208"/>
      <c r="D23" s="208"/>
      <c r="E23" s="47">
        <v>1973</v>
      </c>
      <c r="F23" s="44"/>
      <c r="G23" s="44"/>
      <c r="H23" s="45"/>
      <c r="I23" s="44"/>
      <c r="J23" s="44"/>
      <c r="K23" s="44"/>
      <c r="L23" s="44"/>
      <c r="M23" s="44"/>
      <c r="N23" s="44"/>
      <c r="O23" s="46"/>
    </row>
    <row r="24" spans="1:15" ht="12">
      <c r="A24" s="42">
        <f t="shared" si="0"/>
        <v>11</v>
      </c>
      <c r="B24" s="207" t="s">
        <v>51</v>
      </c>
      <c r="C24" s="208"/>
      <c r="D24" s="208"/>
      <c r="E24" s="47">
        <v>1952</v>
      </c>
      <c r="F24" s="44"/>
      <c r="G24" s="44"/>
      <c r="H24" s="45"/>
      <c r="I24" s="44"/>
      <c r="J24" s="44"/>
      <c r="K24" s="44"/>
      <c r="L24" s="44"/>
      <c r="M24" s="44"/>
      <c r="N24" s="44"/>
      <c r="O24" s="46"/>
    </row>
    <row r="25" spans="1:15" ht="12">
      <c r="A25" s="42">
        <f t="shared" si="0"/>
        <v>12</v>
      </c>
      <c r="B25" s="207" t="s">
        <v>52</v>
      </c>
      <c r="C25" s="208"/>
      <c r="D25" s="208"/>
      <c r="E25" s="47">
        <v>1956</v>
      </c>
      <c r="F25" s="44"/>
      <c r="G25" s="44"/>
      <c r="H25" s="45"/>
      <c r="I25" s="44"/>
      <c r="J25" s="44"/>
      <c r="K25" s="44"/>
      <c r="L25" s="44"/>
      <c r="M25" s="44"/>
      <c r="N25" s="44"/>
      <c r="O25" s="46"/>
    </row>
    <row r="26" spans="1:15" ht="12">
      <c r="A26" s="42">
        <f t="shared" si="0"/>
        <v>13</v>
      </c>
      <c r="B26" s="207" t="s">
        <v>53</v>
      </c>
      <c r="C26" s="208"/>
      <c r="D26" s="208"/>
      <c r="E26" s="47">
        <v>1967</v>
      </c>
      <c r="F26" s="44"/>
      <c r="G26" s="44"/>
      <c r="H26" s="45"/>
      <c r="I26" s="44"/>
      <c r="J26" s="44"/>
      <c r="K26" s="44"/>
      <c r="L26" s="44"/>
      <c r="M26" s="44"/>
      <c r="N26" s="44"/>
      <c r="O26" s="46"/>
    </row>
    <row r="27" spans="1:15" ht="12">
      <c r="A27" s="42">
        <f t="shared" si="0"/>
        <v>14</v>
      </c>
      <c r="B27" s="207" t="s">
        <v>54</v>
      </c>
      <c r="C27" s="208"/>
      <c r="D27" s="208"/>
      <c r="E27" s="47">
        <v>1959</v>
      </c>
      <c r="F27" s="44"/>
      <c r="G27" s="44"/>
      <c r="H27" s="45"/>
      <c r="I27" s="44"/>
      <c r="J27" s="44"/>
      <c r="K27" s="44"/>
      <c r="L27" s="44"/>
      <c r="M27" s="44"/>
      <c r="N27" s="44"/>
      <c r="O27" s="46"/>
    </row>
    <row r="28" spans="1:15" ht="12">
      <c r="A28" s="42">
        <f t="shared" si="0"/>
        <v>15</v>
      </c>
      <c r="B28" s="207" t="s">
        <v>55</v>
      </c>
      <c r="C28" s="208"/>
      <c r="D28" s="208"/>
      <c r="E28" s="47">
        <v>1960</v>
      </c>
      <c r="F28" s="44"/>
      <c r="G28" s="44"/>
      <c r="H28" s="45"/>
      <c r="I28" s="44"/>
      <c r="J28" s="44"/>
      <c r="K28" s="44"/>
      <c r="L28" s="44"/>
      <c r="M28" s="44"/>
      <c r="N28" s="44"/>
      <c r="O28" s="46"/>
    </row>
    <row r="29" spans="1:15" ht="12">
      <c r="A29" s="42">
        <f>A28+1</f>
        <v>16</v>
      </c>
      <c r="B29" s="207" t="s">
        <v>56</v>
      </c>
      <c r="C29" s="208"/>
      <c r="D29" s="208"/>
      <c r="E29" s="47">
        <v>1985</v>
      </c>
      <c r="F29" s="44">
        <v>2012</v>
      </c>
      <c r="G29" s="44" t="s">
        <v>57</v>
      </c>
      <c r="H29" s="45"/>
      <c r="I29" s="49"/>
      <c r="J29" s="50">
        <f>65.977+202.751+54.165</f>
        <v>322.89300000000003</v>
      </c>
      <c r="K29" s="44"/>
      <c r="L29" s="44"/>
      <c r="M29" s="44"/>
      <c r="N29" s="44"/>
      <c r="O29" s="46"/>
    </row>
    <row r="30" spans="1:15" ht="12">
      <c r="A30" s="42">
        <f>A29+1</f>
        <v>17</v>
      </c>
      <c r="B30" s="207" t="s">
        <v>58</v>
      </c>
      <c r="C30" s="208"/>
      <c r="D30" s="208"/>
      <c r="E30" s="47">
        <v>1955</v>
      </c>
      <c r="F30" s="44"/>
      <c r="G30" s="44"/>
      <c r="H30" s="45"/>
      <c r="I30" s="44"/>
      <c r="J30" s="44"/>
      <c r="K30" s="44"/>
      <c r="L30" s="44"/>
      <c r="M30" s="44"/>
      <c r="N30" s="44"/>
      <c r="O30" s="46"/>
    </row>
    <row r="31" spans="1:15" ht="12">
      <c r="A31" s="42">
        <f t="shared" si="0"/>
        <v>18</v>
      </c>
      <c r="B31" s="207" t="s">
        <v>59</v>
      </c>
      <c r="C31" s="208"/>
      <c r="D31" s="208"/>
      <c r="E31" s="47">
        <v>1990</v>
      </c>
      <c r="F31" s="44"/>
      <c r="G31" s="44"/>
      <c r="H31" s="45"/>
      <c r="I31" s="44"/>
      <c r="J31" s="44"/>
      <c r="K31" s="44"/>
      <c r="L31" s="44"/>
      <c r="M31" s="44"/>
      <c r="N31" s="44"/>
      <c r="O31" s="46"/>
    </row>
    <row r="32" spans="1:15" ht="12">
      <c r="A32" s="42">
        <f t="shared" si="0"/>
        <v>19</v>
      </c>
      <c r="B32" s="207" t="s">
        <v>60</v>
      </c>
      <c r="C32" s="208"/>
      <c r="D32" s="208"/>
      <c r="E32" s="47">
        <v>1952</v>
      </c>
      <c r="F32" s="44"/>
      <c r="G32" s="44"/>
      <c r="H32" s="45"/>
      <c r="I32" s="44"/>
      <c r="J32" s="44"/>
      <c r="K32" s="44"/>
      <c r="L32" s="44"/>
      <c r="M32" s="44"/>
      <c r="N32" s="44"/>
      <c r="O32" s="46"/>
    </row>
    <row r="33" spans="1:15" ht="12">
      <c r="A33" s="42">
        <f t="shared" si="0"/>
        <v>20</v>
      </c>
      <c r="B33" s="207" t="s">
        <v>61</v>
      </c>
      <c r="C33" s="208"/>
      <c r="D33" s="208"/>
      <c r="E33" s="47">
        <v>1952</v>
      </c>
      <c r="F33" s="44"/>
      <c r="G33" s="49"/>
      <c r="H33" s="45"/>
      <c r="I33" s="44"/>
      <c r="J33" s="44"/>
      <c r="K33" s="44"/>
      <c r="L33" s="44"/>
      <c r="M33" s="44"/>
      <c r="N33" s="44"/>
      <c r="O33" s="46"/>
    </row>
    <row r="34" spans="1:15" ht="12">
      <c r="A34" s="42">
        <f t="shared" si="0"/>
        <v>21</v>
      </c>
      <c r="B34" s="207" t="s">
        <v>62</v>
      </c>
      <c r="C34" s="208"/>
      <c r="D34" s="208"/>
      <c r="E34" s="47">
        <v>1952</v>
      </c>
      <c r="F34" s="44"/>
      <c r="G34" s="44"/>
      <c r="H34" s="45"/>
      <c r="I34" s="44"/>
      <c r="J34" s="44"/>
      <c r="K34" s="44"/>
      <c r="L34" s="44"/>
      <c r="M34" s="44"/>
      <c r="N34" s="44"/>
      <c r="O34" s="46"/>
    </row>
    <row r="35" spans="1:15" ht="12">
      <c r="A35" s="42">
        <f t="shared" si="0"/>
        <v>22</v>
      </c>
      <c r="B35" s="207" t="s">
        <v>63</v>
      </c>
      <c r="C35" s="208"/>
      <c r="D35" s="208"/>
      <c r="E35" s="47">
        <v>1952</v>
      </c>
      <c r="F35" s="44"/>
      <c r="G35" s="44"/>
      <c r="H35" s="45"/>
      <c r="I35" s="44"/>
      <c r="J35" s="44"/>
      <c r="K35" s="44"/>
      <c r="L35" s="44"/>
      <c r="M35" s="44"/>
      <c r="N35" s="44"/>
      <c r="O35" s="46"/>
    </row>
    <row r="36" spans="1:15" ht="12">
      <c r="A36" s="42">
        <f t="shared" si="0"/>
        <v>23</v>
      </c>
      <c r="B36" s="207" t="s">
        <v>64</v>
      </c>
      <c r="C36" s="208"/>
      <c r="D36" s="208"/>
      <c r="E36" s="47">
        <v>1982</v>
      </c>
      <c r="F36" s="44"/>
      <c r="G36" s="44"/>
      <c r="H36" s="45"/>
      <c r="I36" s="44"/>
      <c r="J36" s="44"/>
      <c r="K36" s="44"/>
      <c r="L36" s="44"/>
      <c r="M36" s="44"/>
      <c r="N36" s="44"/>
      <c r="O36" s="46"/>
    </row>
    <row r="37" spans="1:15" ht="12">
      <c r="A37" s="42">
        <f t="shared" si="0"/>
        <v>24</v>
      </c>
      <c r="B37" s="207" t="s">
        <v>65</v>
      </c>
      <c r="C37" s="208"/>
      <c r="D37" s="208"/>
      <c r="E37" s="47">
        <v>1987</v>
      </c>
      <c r="F37" s="44"/>
      <c r="G37" s="45"/>
      <c r="H37" s="45"/>
      <c r="I37" s="44"/>
      <c r="J37" s="44"/>
      <c r="K37" s="44"/>
      <c r="L37" s="44"/>
      <c r="M37" s="44"/>
      <c r="N37" s="44"/>
      <c r="O37" s="46"/>
    </row>
    <row r="38" spans="1:15" ht="12">
      <c r="A38" s="42">
        <f>A37+1</f>
        <v>25</v>
      </c>
      <c r="B38" s="207" t="s">
        <v>66</v>
      </c>
      <c r="C38" s="208"/>
      <c r="D38" s="208"/>
      <c r="E38" s="47">
        <v>1995</v>
      </c>
      <c r="F38" s="44"/>
      <c r="G38" s="44"/>
      <c r="H38" s="45"/>
      <c r="I38" s="44"/>
      <c r="J38" s="44"/>
      <c r="K38" s="44"/>
      <c r="L38" s="44"/>
      <c r="M38" s="44"/>
      <c r="N38" s="44"/>
      <c r="O38" s="46"/>
    </row>
    <row r="39" spans="1:15" ht="23.25" customHeight="1">
      <c r="A39" s="42">
        <f t="shared" si="0"/>
        <v>26</v>
      </c>
      <c r="B39" s="207" t="s">
        <v>67</v>
      </c>
      <c r="C39" s="208"/>
      <c r="D39" s="208"/>
      <c r="E39" s="51" t="s">
        <v>68</v>
      </c>
      <c r="F39" s="44"/>
      <c r="G39" s="44"/>
      <c r="H39" s="45"/>
      <c r="I39" s="44"/>
      <c r="J39" s="44"/>
      <c r="K39" s="44"/>
      <c r="L39" s="44"/>
      <c r="M39" s="44"/>
      <c r="N39" s="44"/>
      <c r="O39" s="46"/>
    </row>
    <row r="40" spans="1:15" ht="12">
      <c r="A40" s="42">
        <f t="shared" si="0"/>
        <v>27</v>
      </c>
      <c r="B40" s="207" t="s">
        <v>69</v>
      </c>
      <c r="C40" s="208"/>
      <c r="D40" s="208"/>
      <c r="E40" s="52">
        <v>1971</v>
      </c>
      <c r="F40" s="44"/>
      <c r="G40" s="44"/>
      <c r="H40" s="45"/>
      <c r="I40" s="44"/>
      <c r="J40" s="44"/>
      <c r="K40" s="44"/>
      <c r="L40" s="44"/>
      <c r="M40" s="44"/>
      <c r="N40" s="44"/>
      <c r="O40" s="46"/>
    </row>
    <row r="41" spans="1:15" ht="12">
      <c r="A41" s="42">
        <f>A40+1</f>
        <v>28</v>
      </c>
      <c r="B41" s="207" t="s">
        <v>70</v>
      </c>
      <c r="C41" s="208"/>
      <c r="D41" s="208"/>
      <c r="E41" s="52">
        <v>1994</v>
      </c>
      <c r="F41" s="44"/>
      <c r="G41" s="44"/>
      <c r="H41" s="45"/>
      <c r="I41" s="44"/>
      <c r="J41" s="44"/>
      <c r="K41" s="44"/>
      <c r="L41" s="44"/>
      <c r="M41" s="44"/>
      <c r="N41" s="44"/>
      <c r="O41" s="46"/>
    </row>
    <row r="42" spans="1:15" ht="12">
      <c r="A42" s="42">
        <f>A41+1</f>
        <v>29</v>
      </c>
      <c r="B42" s="207" t="s">
        <v>71</v>
      </c>
      <c r="C42" s="208"/>
      <c r="D42" s="208"/>
      <c r="E42" s="52">
        <v>1969</v>
      </c>
      <c r="F42" s="44"/>
      <c r="G42" s="44"/>
      <c r="H42" s="45"/>
      <c r="I42" s="44"/>
      <c r="J42" s="44"/>
      <c r="K42" s="44"/>
      <c r="L42" s="44"/>
      <c r="M42" s="44"/>
      <c r="N42" s="44"/>
      <c r="O42" s="46"/>
    </row>
    <row r="43" spans="1:15" ht="12">
      <c r="A43" s="42">
        <f t="shared" si="0"/>
        <v>30</v>
      </c>
      <c r="B43" s="207" t="s">
        <v>72</v>
      </c>
      <c r="C43" s="208"/>
      <c r="D43" s="208"/>
      <c r="E43" s="52">
        <v>1977</v>
      </c>
      <c r="F43" s="44"/>
      <c r="G43" s="44"/>
      <c r="H43" s="45"/>
      <c r="I43" s="44"/>
      <c r="J43" s="44"/>
      <c r="K43" s="44"/>
      <c r="L43" s="44"/>
      <c r="M43" s="44"/>
      <c r="N43" s="44"/>
      <c r="O43" s="46"/>
    </row>
    <row r="44" spans="1:15" ht="12">
      <c r="A44" s="42">
        <f t="shared" si="0"/>
        <v>31</v>
      </c>
      <c r="B44" s="207" t="s">
        <v>73</v>
      </c>
      <c r="C44" s="208"/>
      <c r="D44" s="208"/>
      <c r="E44" s="52">
        <v>1979</v>
      </c>
      <c r="F44" s="44"/>
      <c r="G44" s="44"/>
      <c r="H44" s="45"/>
      <c r="I44" s="44"/>
      <c r="J44" s="44"/>
      <c r="K44" s="44"/>
      <c r="L44" s="44"/>
      <c r="M44" s="44"/>
      <c r="N44" s="44"/>
      <c r="O44" s="46"/>
    </row>
    <row r="45" spans="1:15" ht="12">
      <c r="A45" s="42">
        <f t="shared" si="0"/>
        <v>32</v>
      </c>
      <c r="B45" s="207" t="s">
        <v>74</v>
      </c>
      <c r="C45" s="208"/>
      <c r="D45" s="208"/>
      <c r="E45" s="52">
        <v>1969</v>
      </c>
      <c r="F45" s="44"/>
      <c r="G45" s="44"/>
      <c r="H45" s="45"/>
      <c r="I45" s="44"/>
      <c r="J45" s="44"/>
      <c r="K45" s="44"/>
      <c r="L45" s="44"/>
      <c r="M45" s="44"/>
      <c r="N45" s="44"/>
      <c r="O45" s="46"/>
    </row>
    <row r="46" spans="1:15" ht="12">
      <c r="A46" s="42">
        <f t="shared" si="0"/>
        <v>33</v>
      </c>
      <c r="B46" s="207" t="s">
        <v>75</v>
      </c>
      <c r="C46" s="208"/>
      <c r="D46" s="208"/>
      <c r="E46" s="52">
        <v>1968</v>
      </c>
      <c r="F46" s="44"/>
      <c r="G46" s="44"/>
      <c r="H46" s="45"/>
      <c r="I46" s="44"/>
      <c r="J46" s="44"/>
      <c r="K46" s="44"/>
      <c r="L46" s="44"/>
      <c r="M46" s="44"/>
      <c r="N46" s="44"/>
      <c r="O46" s="46"/>
    </row>
    <row r="47" spans="1:15" ht="12">
      <c r="A47" s="42">
        <f t="shared" si="0"/>
        <v>34</v>
      </c>
      <c r="B47" s="207" t="s">
        <v>76</v>
      </c>
      <c r="C47" s="208"/>
      <c r="D47" s="208"/>
      <c r="E47" s="52">
        <v>1971</v>
      </c>
      <c r="F47" s="44"/>
      <c r="G47" s="44"/>
      <c r="H47" s="45"/>
      <c r="I47" s="44"/>
      <c r="J47" s="44"/>
      <c r="K47" s="44"/>
      <c r="L47" s="44"/>
      <c r="M47" s="44"/>
      <c r="N47" s="44"/>
      <c r="O47" s="46"/>
    </row>
    <row r="48" spans="1:15" ht="12">
      <c r="A48" s="42">
        <f t="shared" si="0"/>
        <v>35</v>
      </c>
      <c r="B48" s="207" t="s">
        <v>77</v>
      </c>
      <c r="C48" s="208"/>
      <c r="D48" s="208"/>
      <c r="E48" s="47">
        <v>1959</v>
      </c>
      <c r="F48" s="44"/>
      <c r="G48" s="44"/>
      <c r="H48" s="45"/>
      <c r="I48" s="44"/>
      <c r="J48" s="44"/>
      <c r="K48" s="44"/>
      <c r="L48" s="44"/>
      <c r="M48" s="44"/>
      <c r="N48" s="44"/>
      <c r="O48" s="46"/>
    </row>
    <row r="49" spans="1:15" ht="12">
      <c r="A49" s="42">
        <f t="shared" si="0"/>
        <v>36</v>
      </c>
      <c r="B49" s="207" t="s">
        <v>78</v>
      </c>
      <c r="C49" s="208"/>
      <c r="D49" s="208"/>
      <c r="E49" s="47">
        <v>1958</v>
      </c>
      <c r="F49" s="44"/>
      <c r="G49" s="44"/>
      <c r="H49" s="45"/>
      <c r="I49" s="44"/>
      <c r="J49" s="44"/>
      <c r="K49" s="44"/>
      <c r="L49" s="44"/>
      <c r="M49" s="44"/>
      <c r="N49" s="44"/>
      <c r="O49" s="46"/>
    </row>
    <row r="50" spans="1:15" ht="12">
      <c r="A50" s="42">
        <f>A49+1</f>
        <v>37</v>
      </c>
      <c r="B50" s="207" t="s">
        <v>79</v>
      </c>
      <c r="C50" s="208"/>
      <c r="D50" s="208"/>
      <c r="E50" s="47">
        <v>1958</v>
      </c>
      <c r="F50" s="44"/>
      <c r="G50" s="44"/>
      <c r="H50" s="45"/>
      <c r="I50" s="44"/>
      <c r="J50" s="44"/>
      <c r="K50" s="44"/>
      <c r="L50" s="44"/>
      <c r="M50" s="44"/>
      <c r="N50" s="44"/>
      <c r="O50" s="46"/>
    </row>
    <row r="51" spans="1:15" ht="12">
      <c r="A51" s="42">
        <f t="shared" si="0"/>
        <v>38</v>
      </c>
      <c r="B51" s="207" t="s">
        <v>80</v>
      </c>
      <c r="C51" s="208"/>
      <c r="D51" s="208"/>
      <c r="E51" s="47">
        <v>1953</v>
      </c>
      <c r="F51" s="44"/>
      <c r="G51" s="44"/>
      <c r="H51" s="45"/>
      <c r="I51" s="44"/>
      <c r="J51" s="44"/>
      <c r="K51" s="44"/>
      <c r="L51" s="44"/>
      <c r="M51" s="44"/>
      <c r="N51" s="44"/>
      <c r="O51" s="46"/>
    </row>
    <row r="52" spans="1:15" ht="12">
      <c r="A52" s="42">
        <f t="shared" si="0"/>
        <v>39</v>
      </c>
      <c r="B52" s="207" t="s">
        <v>81</v>
      </c>
      <c r="C52" s="208"/>
      <c r="D52" s="208"/>
      <c r="E52" s="47">
        <v>1953</v>
      </c>
      <c r="F52" s="44"/>
      <c r="G52" s="44"/>
      <c r="H52" s="45"/>
      <c r="I52" s="44"/>
      <c r="J52" s="44"/>
      <c r="K52" s="44"/>
      <c r="L52" s="44"/>
      <c r="M52" s="44"/>
      <c r="N52" s="44"/>
      <c r="O52" s="46"/>
    </row>
    <row r="53" spans="1:15" ht="12">
      <c r="A53" s="42">
        <f t="shared" si="0"/>
        <v>40</v>
      </c>
      <c r="B53" s="207" t="s">
        <v>82</v>
      </c>
      <c r="C53" s="208"/>
      <c r="D53" s="208"/>
      <c r="E53" s="47">
        <v>1958</v>
      </c>
      <c r="F53" s="44"/>
      <c r="G53" s="44"/>
      <c r="H53" s="45"/>
      <c r="I53" s="44"/>
      <c r="J53" s="44"/>
      <c r="K53" s="44"/>
      <c r="L53" s="44"/>
      <c r="M53" s="44"/>
      <c r="N53" s="44"/>
      <c r="O53" s="46"/>
    </row>
    <row r="54" spans="1:15" ht="12">
      <c r="A54" s="42">
        <f t="shared" si="0"/>
        <v>41</v>
      </c>
      <c r="B54" s="207" t="s">
        <v>83</v>
      </c>
      <c r="C54" s="208"/>
      <c r="D54" s="208"/>
      <c r="E54" s="47">
        <v>1958</v>
      </c>
      <c r="F54" s="44"/>
      <c r="G54" s="44"/>
      <c r="H54" s="45"/>
      <c r="I54" s="44"/>
      <c r="J54" s="44"/>
      <c r="K54" s="44"/>
      <c r="L54" s="44"/>
      <c r="M54" s="44"/>
      <c r="N54" s="44"/>
      <c r="O54" s="46"/>
    </row>
    <row r="55" spans="1:15" ht="12">
      <c r="A55" s="42">
        <f t="shared" si="0"/>
        <v>42</v>
      </c>
      <c r="B55" s="207" t="s">
        <v>84</v>
      </c>
      <c r="C55" s="208"/>
      <c r="D55" s="208"/>
      <c r="E55" s="47">
        <v>1981</v>
      </c>
      <c r="F55" s="44"/>
      <c r="G55" s="44"/>
      <c r="H55" s="45"/>
      <c r="I55" s="44"/>
      <c r="J55" s="44"/>
      <c r="K55" s="44"/>
      <c r="L55" s="44"/>
      <c r="M55" s="44"/>
      <c r="N55" s="44"/>
      <c r="O55" s="46"/>
    </row>
    <row r="56" spans="1:15" ht="12">
      <c r="A56" s="42">
        <f>A55+1</f>
        <v>43</v>
      </c>
      <c r="B56" s="207" t="s">
        <v>85</v>
      </c>
      <c r="C56" s="208"/>
      <c r="D56" s="208"/>
      <c r="E56" s="47">
        <v>1947</v>
      </c>
      <c r="F56" s="44"/>
      <c r="G56" s="44"/>
      <c r="H56" s="45"/>
      <c r="I56" s="44"/>
      <c r="J56" s="44"/>
      <c r="K56" s="44"/>
      <c r="L56" s="44"/>
      <c r="M56" s="44"/>
      <c r="N56" s="44"/>
      <c r="O56" s="46"/>
    </row>
    <row r="57" spans="1:15" ht="12">
      <c r="A57" s="42">
        <f t="shared" si="0"/>
        <v>44</v>
      </c>
      <c r="B57" s="207" t="s">
        <v>86</v>
      </c>
      <c r="C57" s="208"/>
      <c r="D57" s="208"/>
      <c r="E57" s="47">
        <v>1965</v>
      </c>
      <c r="F57" s="44"/>
      <c r="G57" s="44"/>
      <c r="H57" s="45"/>
      <c r="I57" s="44"/>
      <c r="J57" s="44"/>
      <c r="K57" s="44"/>
      <c r="L57" s="44"/>
      <c r="M57" s="44"/>
      <c r="N57" s="44"/>
      <c r="O57" s="46"/>
    </row>
    <row r="58" spans="1:15" ht="12">
      <c r="A58" s="42">
        <f t="shared" si="0"/>
        <v>45</v>
      </c>
      <c r="B58" s="207" t="s">
        <v>87</v>
      </c>
      <c r="C58" s="208"/>
      <c r="D58" s="208"/>
      <c r="E58" s="47">
        <v>1969</v>
      </c>
      <c r="F58" s="44"/>
      <c r="G58" s="44"/>
      <c r="H58" s="45"/>
      <c r="I58" s="44"/>
      <c r="J58" s="44"/>
      <c r="K58" s="44"/>
      <c r="L58" s="44"/>
      <c r="M58" s="44"/>
      <c r="N58" s="44"/>
      <c r="O58" s="46"/>
    </row>
    <row r="59" spans="1:15" ht="12">
      <c r="A59" s="42">
        <f t="shared" si="0"/>
        <v>46</v>
      </c>
      <c r="B59" s="207" t="s">
        <v>88</v>
      </c>
      <c r="C59" s="208"/>
      <c r="D59" s="208"/>
      <c r="E59" s="47">
        <v>1959</v>
      </c>
      <c r="F59" s="44"/>
      <c r="G59" s="44"/>
      <c r="H59" s="45"/>
      <c r="I59" s="44"/>
      <c r="J59" s="44"/>
      <c r="K59" s="44"/>
      <c r="L59" s="44"/>
      <c r="M59" s="44"/>
      <c r="N59" s="44"/>
      <c r="O59" s="46"/>
    </row>
    <row r="60" spans="1:15" ht="12">
      <c r="A60" s="42">
        <f t="shared" si="0"/>
        <v>47</v>
      </c>
      <c r="B60" s="207" t="s">
        <v>89</v>
      </c>
      <c r="C60" s="208"/>
      <c r="D60" s="208"/>
      <c r="E60" s="47">
        <v>1962</v>
      </c>
      <c r="F60" s="44"/>
      <c r="G60" s="44"/>
      <c r="H60" s="45"/>
      <c r="I60" s="44"/>
      <c r="J60" s="44"/>
      <c r="K60" s="44"/>
      <c r="L60" s="44"/>
      <c r="M60" s="44"/>
      <c r="N60" s="44"/>
      <c r="O60" s="46"/>
    </row>
    <row r="61" spans="1:15" ht="12">
      <c r="A61" s="42">
        <f t="shared" si="0"/>
        <v>48</v>
      </c>
      <c r="B61" s="207" t="s">
        <v>90</v>
      </c>
      <c r="C61" s="208"/>
      <c r="D61" s="208"/>
      <c r="E61" s="47">
        <v>1968</v>
      </c>
      <c r="F61" s="44"/>
      <c r="G61" s="44" t="s">
        <v>91</v>
      </c>
      <c r="H61" s="45" t="s">
        <v>18</v>
      </c>
      <c r="I61" s="44">
        <v>1150</v>
      </c>
      <c r="J61" s="44"/>
      <c r="K61" s="44"/>
      <c r="L61" s="44">
        <f>993817/1000</f>
        <v>993.817</v>
      </c>
      <c r="M61" s="44"/>
      <c r="N61" s="44"/>
      <c r="O61" s="46"/>
    </row>
    <row r="62" spans="1:15" ht="12">
      <c r="A62" s="42">
        <f t="shared" si="0"/>
        <v>49</v>
      </c>
      <c r="B62" s="207" t="s">
        <v>92</v>
      </c>
      <c r="C62" s="208"/>
      <c r="D62" s="208"/>
      <c r="E62" s="47">
        <v>1967</v>
      </c>
      <c r="F62" s="44"/>
      <c r="G62" s="44"/>
      <c r="H62" s="45"/>
      <c r="I62" s="44"/>
      <c r="J62" s="44"/>
      <c r="K62" s="44"/>
      <c r="L62" s="44"/>
      <c r="M62" s="44"/>
      <c r="N62" s="44"/>
      <c r="O62" s="46"/>
    </row>
    <row r="63" spans="1:15" ht="12">
      <c r="A63" s="42">
        <f t="shared" si="0"/>
        <v>50</v>
      </c>
      <c r="B63" s="207" t="s">
        <v>93</v>
      </c>
      <c r="C63" s="208"/>
      <c r="D63" s="208"/>
      <c r="E63" s="47">
        <v>1947</v>
      </c>
      <c r="F63" s="44"/>
      <c r="G63" s="44"/>
      <c r="H63" s="45"/>
      <c r="I63" s="44"/>
      <c r="J63" s="44"/>
      <c r="K63" s="44"/>
      <c r="L63" s="44"/>
      <c r="M63" s="44"/>
      <c r="N63" s="44"/>
      <c r="O63" s="46"/>
    </row>
    <row r="64" spans="1:15" ht="12">
      <c r="A64" s="42">
        <f t="shared" si="0"/>
        <v>51</v>
      </c>
      <c r="B64" s="207" t="s">
        <v>94</v>
      </c>
      <c r="C64" s="208"/>
      <c r="D64" s="208"/>
      <c r="E64" s="47">
        <v>1965</v>
      </c>
      <c r="F64" s="44"/>
      <c r="G64" s="44"/>
      <c r="H64" s="45"/>
      <c r="I64" s="44"/>
      <c r="J64" s="44"/>
      <c r="K64" s="44"/>
      <c r="L64" s="44"/>
      <c r="M64" s="44"/>
      <c r="N64" s="44"/>
      <c r="O64" s="46"/>
    </row>
    <row r="65" spans="1:15" ht="12">
      <c r="A65" s="42">
        <f t="shared" si="0"/>
        <v>52</v>
      </c>
      <c r="B65" s="207" t="s">
        <v>95</v>
      </c>
      <c r="C65" s="208"/>
      <c r="D65" s="208"/>
      <c r="E65" s="47">
        <v>1970</v>
      </c>
      <c r="F65" s="44"/>
      <c r="G65" s="44"/>
      <c r="H65" s="45"/>
      <c r="I65" s="44"/>
      <c r="J65" s="44"/>
      <c r="K65" s="44"/>
      <c r="L65" s="44"/>
      <c r="M65" s="44"/>
      <c r="N65" s="44"/>
      <c r="O65" s="46"/>
    </row>
    <row r="66" spans="1:15" ht="12">
      <c r="A66" s="42">
        <f t="shared" si="0"/>
        <v>53</v>
      </c>
      <c r="B66" s="207" t="s">
        <v>16</v>
      </c>
      <c r="C66" s="208"/>
      <c r="D66" s="208"/>
      <c r="E66" s="47">
        <v>1973</v>
      </c>
      <c r="F66" s="44"/>
      <c r="G66" s="44"/>
      <c r="H66" s="45"/>
      <c r="I66" s="44">
        <v>1805</v>
      </c>
      <c r="J66" s="44">
        <v>1805.94988</v>
      </c>
      <c r="K66" s="44"/>
      <c r="L66" s="44"/>
      <c r="M66" s="44"/>
      <c r="N66" s="44"/>
      <c r="O66" s="46"/>
    </row>
    <row r="67" spans="1:15" ht="12">
      <c r="A67" s="42">
        <f t="shared" si="0"/>
        <v>54</v>
      </c>
      <c r="B67" s="207" t="s">
        <v>96</v>
      </c>
      <c r="C67" s="208"/>
      <c r="D67" s="208"/>
      <c r="E67" s="47">
        <v>1982</v>
      </c>
      <c r="F67" s="44"/>
      <c r="G67" s="44"/>
      <c r="H67" s="45"/>
      <c r="I67" s="44"/>
      <c r="J67" s="49"/>
      <c r="K67" s="44"/>
      <c r="L67" s="44"/>
      <c r="M67" s="44"/>
      <c r="N67" s="44"/>
      <c r="O67" s="46"/>
    </row>
    <row r="68" spans="1:15" ht="12">
      <c r="A68" s="42">
        <f>A67+1</f>
        <v>55</v>
      </c>
      <c r="B68" s="207" t="s">
        <v>97</v>
      </c>
      <c r="C68" s="208"/>
      <c r="D68" s="208"/>
      <c r="E68" s="47">
        <v>1968</v>
      </c>
      <c r="F68" s="44"/>
      <c r="G68" s="44"/>
      <c r="H68" s="45"/>
      <c r="I68" s="44"/>
      <c r="J68" s="44"/>
      <c r="K68" s="44"/>
      <c r="L68" s="44"/>
      <c r="M68" s="44"/>
      <c r="N68" s="44"/>
      <c r="O68" s="46"/>
    </row>
    <row r="69" spans="1:15" ht="12">
      <c r="A69" s="42">
        <f t="shared" si="0"/>
        <v>56</v>
      </c>
      <c r="B69" s="207" t="s">
        <v>98</v>
      </c>
      <c r="C69" s="208"/>
      <c r="D69" s="208"/>
      <c r="E69" s="47">
        <v>1968</v>
      </c>
      <c r="F69" s="44"/>
      <c r="G69" s="44"/>
      <c r="H69" s="45"/>
      <c r="I69" s="44"/>
      <c r="J69" s="44"/>
      <c r="K69" s="44"/>
      <c r="L69" s="44"/>
      <c r="M69" s="44"/>
      <c r="N69" s="44"/>
      <c r="O69" s="46"/>
    </row>
    <row r="70" spans="1:15" ht="12">
      <c r="A70" s="42">
        <f t="shared" si="0"/>
        <v>57</v>
      </c>
      <c r="B70" s="207" t="s">
        <v>99</v>
      </c>
      <c r="C70" s="208"/>
      <c r="D70" s="208"/>
      <c r="E70" s="47">
        <v>1974</v>
      </c>
      <c r="F70" s="44"/>
      <c r="G70" s="44"/>
      <c r="H70" s="45"/>
      <c r="I70" s="44"/>
      <c r="J70" s="44"/>
      <c r="K70" s="44"/>
      <c r="L70" s="44"/>
      <c r="M70" s="44"/>
      <c r="N70" s="44"/>
      <c r="O70" s="46"/>
    </row>
    <row r="71" spans="1:15" ht="25.5" customHeight="1">
      <c r="A71" s="42">
        <f>A70+1</f>
        <v>58</v>
      </c>
      <c r="B71" s="207" t="s">
        <v>100</v>
      </c>
      <c r="C71" s="208"/>
      <c r="D71" s="208"/>
      <c r="E71" s="47">
        <v>1984</v>
      </c>
      <c r="F71" s="44">
        <v>2012</v>
      </c>
      <c r="G71" s="53" t="s">
        <v>101</v>
      </c>
      <c r="H71" s="45"/>
      <c r="I71" s="44"/>
      <c r="J71" s="50">
        <f>56190.94/1000</f>
        <v>56.190940000000005</v>
      </c>
      <c r="K71" s="44"/>
      <c r="L71" s="44"/>
      <c r="M71" s="44"/>
      <c r="N71" s="44"/>
      <c r="O71" s="46"/>
    </row>
    <row r="72" spans="1:15" ht="11.25" customHeight="1">
      <c r="A72" s="54"/>
      <c r="B72" s="207" t="s">
        <v>102</v>
      </c>
      <c r="C72" s="208"/>
      <c r="D72" s="55"/>
      <c r="E72" s="55"/>
      <c r="F72" s="56"/>
      <c r="G72" s="53"/>
      <c r="H72" s="57"/>
      <c r="I72" s="56"/>
      <c r="J72" s="58">
        <v>36.12</v>
      </c>
      <c r="K72" s="56"/>
      <c r="L72" s="56"/>
      <c r="M72" s="56"/>
      <c r="N72" s="56"/>
      <c r="O72" s="59"/>
    </row>
    <row r="73" spans="1:15" ht="12">
      <c r="A73" s="60"/>
      <c r="B73" s="193" t="s">
        <v>26</v>
      </c>
      <c r="C73" s="194"/>
      <c r="D73" s="194"/>
      <c r="E73" s="61"/>
      <c r="F73" s="62"/>
      <c r="G73" s="62"/>
      <c r="H73" s="62"/>
      <c r="I73" s="63"/>
      <c r="J73" s="64">
        <f>SUM(J14:J72)</f>
        <v>2221.15382</v>
      </c>
      <c r="K73" s="64">
        <f>SUM(K14:K71)</f>
        <v>0</v>
      </c>
      <c r="L73" s="64">
        <f>SUM(L14:L71)</f>
        <v>993.817</v>
      </c>
      <c r="M73" s="63">
        <f>SUM(M14:M71)</f>
        <v>0</v>
      </c>
      <c r="N73" s="63">
        <f>SUM(N14:N71)</f>
        <v>0</v>
      </c>
      <c r="O73" s="65">
        <f>SUM(O14:O71)</f>
        <v>0</v>
      </c>
    </row>
    <row r="75" ht="12">
      <c r="J75" s="66"/>
    </row>
    <row r="77" ht="12">
      <c r="J77" s="66"/>
    </row>
    <row r="78" spans="2:14" ht="12">
      <c r="B78" s="201" t="s">
        <v>103</v>
      </c>
      <c r="C78" s="201"/>
      <c r="D78" s="201"/>
      <c r="E78" s="201"/>
      <c r="L78" s="195" t="s">
        <v>104</v>
      </c>
      <c r="M78" s="195"/>
      <c r="N78" s="195"/>
    </row>
    <row r="81" spans="1:5" ht="12">
      <c r="A81" s="201" t="s">
        <v>105</v>
      </c>
      <c r="B81" s="201"/>
      <c r="C81" s="201"/>
      <c r="D81" s="201"/>
      <c r="E81" s="201"/>
    </row>
  </sheetData>
  <sheetProtection/>
  <mergeCells count="82">
    <mergeCell ref="H10:H12"/>
    <mergeCell ref="A10:A12"/>
    <mergeCell ref="B10:D12"/>
    <mergeCell ref="E10:E12"/>
    <mergeCell ref="F10:F12"/>
    <mergeCell ref="L1:N1"/>
    <mergeCell ref="L2:N2"/>
    <mergeCell ref="A5:O5"/>
    <mergeCell ref="A6:O6"/>
    <mergeCell ref="J10:N10"/>
    <mergeCell ref="O10:O12"/>
    <mergeCell ref="J11:J12"/>
    <mergeCell ref="K11:K12"/>
    <mergeCell ref="L11:L12"/>
    <mergeCell ref="M11:M12"/>
    <mergeCell ref="N11:N12"/>
    <mergeCell ref="B28:D28"/>
    <mergeCell ref="B29:D29"/>
    <mergeCell ref="B18:D18"/>
    <mergeCell ref="I10:I12"/>
    <mergeCell ref="B13:D13"/>
    <mergeCell ref="B14:D14"/>
    <mergeCell ref="B15:D15"/>
    <mergeCell ref="B16:D16"/>
    <mergeCell ref="B17:D17"/>
    <mergeCell ref="G10:G12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8:D38"/>
    <mergeCell ref="B39:D39"/>
    <mergeCell ref="B40:D40"/>
    <mergeCell ref="B41:D4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2:D62"/>
    <mergeCell ref="B63:D63"/>
    <mergeCell ref="B64:D64"/>
    <mergeCell ref="B65:D65"/>
    <mergeCell ref="B71:D71"/>
    <mergeCell ref="B72:C72"/>
    <mergeCell ref="B66:D66"/>
    <mergeCell ref="B55:D55"/>
    <mergeCell ref="B56:D56"/>
    <mergeCell ref="B57:D57"/>
    <mergeCell ref="B58:D58"/>
    <mergeCell ref="B59:D59"/>
    <mergeCell ref="B60:D60"/>
    <mergeCell ref="B61:D61"/>
    <mergeCell ref="B67:D67"/>
    <mergeCell ref="B68:D68"/>
    <mergeCell ref="B69:D69"/>
    <mergeCell ref="B70:D70"/>
    <mergeCell ref="B73:D73"/>
    <mergeCell ref="B78:E78"/>
    <mergeCell ref="L78:N78"/>
    <mergeCell ref="A81:E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52">
      <selection activeCell="A70" sqref="A70:IV70"/>
    </sheetView>
  </sheetViews>
  <sheetFormatPr defaultColWidth="9.140625" defaultRowHeight="15"/>
  <cols>
    <col min="1" max="1" width="4.57421875" style="70" customWidth="1"/>
    <col min="2" max="2" width="21.140625" style="70" customWidth="1"/>
    <col min="3" max="3" width="5.8515625" style="70" customWidth="1"/>
    <col min="4" max="4" width="7.57421875" style="70" customWidth="1"/>
    <col min="5" max="5" width="9.00390625" style="70" customWidth="1"/>
    <col min="6" max="6" width="7.57421875" style="70" customWidth="1"/>
    <col min="7" max="7" width="8.421875" style="70" customWidth="1"/>
    <col min="8" max="8" width="7.28125" style="70" customWidth="1"/>
    <col min="9" max="9" width="8.8515625" style="70" customWidth="1"/>
    <col min="10" max="10" width="7.57421875" style="70" customWidth="1"/>
    <col min="11" max="11" width="8.7109375" style="70" customWidth="1"/>
    <col min="12" max="12" width="7.57421875" style="70" customWidth="1"/>
    <col min="13" max="13" width="8.8515625" style="70" customWidth="1"/>
    <col min="14" max="14" width="7.421875" style="70" customWidth="1"/>
    <col min="15" max="15" width="8.57421875" style="70" customWidth="1"/>
    <col min="16" max="16384" width="9.140625" style="70" customWidth="1"/>
  </cols>
  <sheetData>
    <row r="1" spans="1:15" ht="15" customHeight="1">
      <c r="A1" s="232" t="s">
        <v>107</v>
      </c>
      <c r="B1" s="232"/>
      <c r="C1" s="232"/>
      <c r="D1" s="233"/>
      <c r="E1" s="233"/>
      <c r="F1" s="67"/>
      <c r="G1" s="67"/>
      <c r="H1" s="68"/>
      <c r="I1" s="67"/>
      <c r="J1" s="67"/>
      <c r="K1" s="69" t="s">
        <v>108</v>
      </c>
      <c r="L1" s="69"/>
      <c r="M1" s="69"/>
      <c r="N1" s="69"/>
      <c r="O1" s="67"/>
    </row>
    <row r="2" spans="1:15" ht="13.5" customHeight="1">
      <c r="A2" s="232" t="s">
        <v>109</v>
      </c>
      <c r="B2" s="232"/>
      <c r="C2" s="232"/>
      <c r="D2" s="233"/>
      <c r="E2" s="233"/>
      <c r="F2" s="67"/>
      <c r="G2" s="67"/>
      <c r="H2" s="68"/>
      <c r="I2" s="67"/>
      <c r="J2" s="67"/>
      <c r="K2" s="69" t="s">
        <v>110</v>
      </c>
      <c r="L2" s="69"/>
      <c r="M2" s="69"/>
      <c r="N2" s="69"/>
      <c r="O2" s="67"/>
    </row>
    <row r="3" spans="1:15" ht="13.5" customHeight="1">
      <c r="A3" s="67"/>
      <c r="B3" s="67"/>
      <c r="C3" s="67"/>
      <c r="D3" s="67"/>
      <c r="E3" s="67"/>
      <c r="F3" s="67"/>
      <c r="G3" s="67"/>
      <c r="H3" s="68"/>
      <c r="I3" s="67"/>
      <c r="J3" s="67"/>
      <c r="K3" s="69" t="s">
        <v>111</v>
      </c>
      <c r="L3" s="69"/>
      <c r="M3" s="69"/>
      <c r="N3" s="69"/>
      <c r="O3" s="67"/>
    </row>
    <row r="4" spans="1:15" ht="14.25" customHeight="1">
      <c r="A4" s="67"/>
      <c r="B4" s="67"/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</row>
    <row r="5" spans="1:15" ht="13.5" customHeight="1">
      <c r="A5" s="234" t="s">
        <v>112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  <c r="M5" s="235"/>
      <c r="N5" s="235"/>
      <c r="O5" s="235"/>
    </row>
    <row r="6" spans="1:15" ht="13.5" customHeight="1">
      <c r="A6" s="236" t="s">
        <v>113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3"/>
      <c r="M6" s="233"/>
      <c r="N6" s="233"/>
      <c r="O6" s="233"/>
    </row>
    <row r="7" spans="1:15" ht="12.75">
      <c r="A7" s="237" t="s">
        <v>114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5" ht="12.75">
      <c r="A8" s="237" t="s">
        <v>115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1:15" ht="12.75">
      <c r="A9" s="225" t="s">
        <v>116</v>
      </c>
      <c r="B9" s="225" t="s">
        <v>9</v>
      </c>
      <c r="C9" s="230" t="s">
        <v>117</v>
      </c>
      <c r="D9" s="231" t="s">
        <v>118</v>
      </c>
      <c r="E9" s="231"/>
      <c r="F9" s="231"/>
      <c r="G9" s="231"/>
      <c r="H9" s="231" t="s">
        <v>119</v>
      </c>
      <c r="I9" s="231"/>
      <c r="J9" s="231"/>
      <c r="K9" s="231"/>
      <c r="L9" s="231" t="s">
        <v>120</v>
      </c>
      <c r="M9" s="231"/>
      <c r="N9" s="231"/>
      <c r="O9" s="231"/>
    </row>
    <row r="10" spans="1:15" ht="12.75">
      <c r="A10" s="225"/>
      <c r="B10" s="225"/>
      <c r="C10" s="230"/>
      <c r="D10" s="225" t="s">
        <v>121</v>
      </c>
      <c r="E10" s="225"/>
      <c r="F10" s="225" t="s">
        <v>122</v>
      </c>
      <c r="G10" s="225"/>
      <c r="H10" s="225" t="s">
        <v>121</v>
      </c>
      <c r="I10" s="225"/>
      <c r="J10" s="225" t="s">
        <v>122</v>
      </c>
      <c r="K10" s="225"/>
      <c r="L10" s="225" t="s">
        <v>121</v>
      </c>
      <c r="M10" s="225"/>
      <c r="N10" s="225" t="s">
        <v>122</v>
      </c>
      <c r="O10" s="225"/>
    </row>
    <row r="11" spans="1:15" ht="56.25" customHeight="1">
      <c r="A11" s="225"/>
      <c r="B11" s="225"/>
      <c r="C11" s="230"/>
      <c r="D11" s="71" t="s">
        <v>123</v>
      </c>
      <c r="E11" s="71" t="s">
        <v>124</v>
      </c>
      <c r="F11" s="71" t="s">
        <v>123</v>
      </c>
      <c r="G11" s="71" t="s">
        <v>125</v>
      </c>
      <c r="H11" s="71" t="s">
        <v>123</v>
      </c>
      <c r="I11" s="71" t="s">
        <v>125</v>
      </c>
      <c r="J11" s="71" t="s">
        <v>123</v>
      </c>
      <c r="K11" s="71" t="s">
        <v>126</v>
      </c>
      <c r="L11" s="71" t="s">
        <v>123</v>
      </c>
      <c r="M11" s="71" t="s">
        <v>125</v>
      </c>
      <c r="N11" s="71" t="s">
        <v>123</v>
      </c>
      <c r="O11" s="71" t="s">
        <v>124</v>
      </c>
    </row>
    <row r="12" spans="1:15" ht="12.75">
      <c r="A12" s="72">
        <v>1</v>
      </c>
      <c r="B12" s="73" t="s">
        <v>127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ht="12.75">
      <c r="A13" s="77" t="s">
        <v>128</v>
      </c>
      <c r="B13" s="78" t="s">
        <v>129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ht="15" customHeight="1">
      <c r="A14" s="82" t="s">
        <v>130</v>
      </c>
      <c r="B14" s="80" t="s">
        <v>131</v>
      </c>
      <c r="C14" s="79" t="s">
        <v>18</v>
      </c>
      <c r="D14" s="80">
        <v>1150</v>
      </c>
      <c r="E14" s="80">
        <v>1307.7</v>
      </c>
      <c r="F14" s="80">
        <v>1150</v>
      </c>
      <c r="G14" s="80">
        <v>993.817</v>
      </c>
      <c r="H14" s="80">
        <v>1805</v>
      </c>
      <c r="I14" s="80">
        <f>1842.07-36.12</f>
        <v>1805.95</v>
      </c>
      <c r="J14" s="80">
        <v>1805</v>
      </c>
      <c r="K14" s="80">
        <v>1805.95</v>
      </c>
      <c r="L14" s="80"/>
      <c r="M14" s="80"/>
      <c r="N14" s="80"/>
      <c r="O14" s="81"/>
    </row>
    <row r="15" spans="1:15" ht="14.25" customHeight="1">
      <c r="A15" s="77" t="s">
        <v>132</v>
      </c>
      <c r="B15" s="80" t="s">
        <v>133</v>
      </c>
      <c r="C15" s="79" t="s">
        <v>18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15" ht="14.25" customHeight="1">
      <c r="A16" s="77" t="s">
        <v>134</v>
      </c>
      <c r="B16" s="80" t="s">
        <v>135</v>
      </c>
      <c r="C16" s="79" t="s">
        <v>18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</row>
    <row r="17" spans="1:15" ht="25.5" customHeight="1">
      <c r="A17" s="83" t="s">
        <v>136</v>
      </c>
      <c r="B17" s="84" t="s">
        <v>137</v>
      </c>
      <c r="C17" s="79" t="s">
        <v>138</v>
      </c>
      <c r="D17" s="80"/>
      <c r="E17" s="80"/>
      <c r="F17" s="80"/>
      <c r="G17" s="80"/>
      <c r="H17" s="80"/>
      <c r="I17" s="80"/>
      <c r="J17" s="80"/>
      <c r="K17" s="80"/>
      <c r="L17" s="80">
        <f>K14-I14</f>
        <v>0</v>
      </c>
      <c r="M17" s="80"/>
      <c r="N17" s="80"/>
      <c r="O17" s="81"/>
    </row>
    <row r="18" spans="1:15" ht="14.25" customHeight="1">
      <c r="A18" s="77" t="s">
        <v>139</v>
      </c>
      <c r="B18" s="85" t="s">
        <v>140</v>
      </c>
      <c r="C18" s="86" t="s">
        <v>21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27" customHeight="1">
      <c r="A19" s="87">
        <v>2</v>
      </c>
      <c r="B19" s="78" t="s">
        <v>141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14.25" customHeight="1">
      <c r="A20" s="82" t="s">
        <v>142</v>
      </c>
      <c r="B20" s="88" t="s">
        <v>143</v>
      </c>
      <c r="C20" s="8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5" customHeight="1">
      <c r="A21" s="82" t="s">
        <v>144</v>
      </c>
      <c r="B21" s="80" t="s">
        <v>145</v>
      </c>
      <c r="C21" s="79" t="s">
        <v>21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5" ht="14.25" customHeight="1">
      <c r="A22" s="77" t="s">
        <v>146</v>
      </c>
      <c r="B22" s="80" t="s">
        <v>147</v>
      </c>
      <c r="C22" s="79" t="s">
        <v>148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1:15" ht="14.25" customHeight="1">
      <c r="A23" s="77" t="s">
        <v>149</v>
      </c>
      <c r="B23" s="80" t="s">
        <v>150</v>
      </c>
      <c r="C23" s="79" t="s">
        <v>21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27" customHeight="1">
      <c r="A24" s="83" t="s">
        <v>151</v>
      </c>
      <c r="B24" s="84" t="s">
        <v>152</v>
      </c>
      <c r="C24" s="90" t="s">
        <v>153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5" ht="15" customHeight="1">
      <c r="A25" s="77" t="s">
        <v>154</v>
      </c>
      <c r="B25" s="88" t="s">
        <v>155</v>
      </c>
      <c r="C25" s="8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26" spans="1:15" ht="13.5" customHeight="1">
      <c r="A26" s="77" t="s">
        <v>156</v>
      </c>
      <c r="B26" s="85" t="s">
        <v>145</v>
      </c>
      <c r="C26" s="79" t="s">
        <v>21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1:15" ht="13.5" customHeight="1">
      <c r="A27" s="77" t="s">
        <v>157</v>
      </c>
      <c r="B27" s="85" t="s">
        <v>147</v>
      </c>
      <c r="C27" s="79" t="s">
        <v>148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</row>
    <row r="28" spans="1:15" ht="14.25" customHeight="1">
      <c r="A28" s="77" t="s">
        <v>158</v>
      </c>
      <c r="B28" s="85" t="s">
        <v>150</v>
      </c>
      <c r="C28" s="79" t="s">
        <v>21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</row>
    <row r="29" spans="1:15" ht="13.5" customHeight="1">
      <c r="A29" s="77" t="s">
        <v>159</v>
      </c>
      <c r="B29" s="88" t="s">
        <v>160</v>
      </c>
      <c r="C29" s="89" t="s">
        <v>161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</row>
    <row r="30" spans="1:15" ht="13.5" customHeight="1">
      <c r="A30" s="77" t="s">
        <v>162</v>
      </c>
      <c r="B30" s="80" t="s">
        <v>145</v>
      </c>
      <c r="C30" s="79" t="s">
        <v>21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1:15" ht="13.5" customHeight="1">
      <c r="A31" s="77" t="s">
        <v>163</v>
      </c>
      <c r="B31" s="80" t="s">
        <v>147</v>
      </c>
      <c r="C31" s="79" t="s">
        <v>148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</row>
    <row r="32" spans="1:15" ht="13.5" customHeight="1">
      <c r="A32" s="77" t="s">
        <v>164</v>
      </c>
      <c r="B32" s="80" t="s">
        <v>150</v>
      </c>
      <c r="C32" s="79" t="s">
        <v>21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</row>
    <row r="33" spans="1:15" ht="55.5" customHeight="1">
      <c r="A33" s="83" t="s">
        <v>159</v>
      </c>
      <c r="B33" s="78" t="s">
        <v>165</v>
      </c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</row>
    <row r="34" spans="1:15" ht="21.75" customHeight="1">
      <c r="A34" s="77" t="s">
        <v>162</v>
      </c>
      <c r="B34" s="91" t="s">
        <v>166</v>
      </c>
      <c r="C34" s="226" t="s">
        <v>167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1:15" ht="27.75" customHeight="1">
      <c r="A35" s="77" t="s">
        <v>163</v>
      </c>
      <c r="B35" s="91" t="s">
        <v>168</v>
      </c>
      <c r="C35" s="227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</row>
    <row r="36" spans="1:15" ht="13.5" customHeight="1">
      <c r="A36" s="77" t="s">
        <v>169</v>
      </c>
      <c r="B36" s="88" t="s">
        <v>170</v>
      </c>
      <c r="C36" s="89" t="s">
        <v>161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</row>
    <row r="37" spans="1:15" ht="12" customHeight="1">
      <c r="A37" s="77" t="s">
        <v>171</v>
      </c>
      <c r="B37" s="80" t="s">
        <v>147</v>
      </c>
      <c r="C37" s="79" t="s">
        <v>148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</row>
    <row r="38" spans="1:15" ht="12" customHeight="1">
      <c r="A38" s="77" t="s">
        <v>172</v>
      </c>
      <c r="B38" s="80" t="s">
        <v>173</v>
      </c>
      <c r="C38" s="79" t="s">
        <v>174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1:15" ht="12" customHeight="1">
      <c r="A39" s="92">
        <v>3</v>
      </c>
      <c r="B39" s="88" t="s">
        <v>175</v>
      </c>
      <c r="C39" s="8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14.25" customHeight="1">
      <c r="A40" s="77" t="s">
        <v>176</v>
      </c>
      <c r="B40" s="80" t="s">
        <v>177</v>
      </c>
      <c r="C40" s="79" t="s">
        <v>21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</row>
    <row r="41" spans="1:15" ht="14.25" customHeight="1">
      <c r="A41" s="93" t="s">
        <v>178</v>
      </c>
      <c r="B41" s="80" t="s">
        <v>179</v>
      </c>
      <c r="C41" s="79" t="s">
        <v>21</v>
      </c>
      <c r="D41" s="80"/>
      <c r="E41" s="80"/>
      <c r="F41" s="80"/>
      <c r="G41" s="80"/>
      <c r="H41" s="80">
        <v>2</v>
      </c>
      <c r="I41" s="80">
        <v>262.39</v>
      </c>
      <c r="J41" s="80">
        <v>2</v>
      </c>
      <c r="K41" s="80">
        <f>202.751+54.165</f>
        <v>256.916</v>
      </c>
      <c r="L41" s="80"/>
      <c r="M41" s="80"/>
      <c r="N41" s="80"/>
      <c r="O41" s="81"/>
    </row>
    <row r="42" spans="1:15" ht="13.5" customHeight="1">
      <c r="A42" s="77" t="s">
        <v>180</v>
      </c>
      <c r="B42" s="80" t="s">
        <v>181</v>
      </c>
      <c r="C42" s="79" t="s">
        <v>21</v>
      </c>
      <c r="D42" s="80"/>
      <c r="E42" s="80"/>
      <c r="F42" s="80"/>
      <c r="G42" s="80"/>
      <c r="H42" s="80">
        <v>4</v>
      </c>
      <c r="I42" s="80">
        <v>122.168</v>
      </c>
      <c r="J42" s="80">
        <v>4</v>
      </c>
      <c r="K42" s="80">
        <f>65.977+56.191</f>
        <v>122.168</v>
      </c>
      <c r="L42" s="80"/>
      <c r="M42" s="80"/>
      <c r="N42" s="80"/>
      <c r="O42" s="81"/>
    </row>
    <row r="43" spans="1:15" ht="13.5" customHeight="1">
      <c r="A43" s="77" t="s">
        <v>182</v>
      </c>
      <c r="B43" s="80" t="s">
        <v>183</v>
      </c>
      <c r="C43" s="79" t="s">
        <v>161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</row>
    <row r="44" spans="1:15" ht="14.25" customHeight="1">
      <c r="A44" s="94">
        <v>4</v>
      </c>
      <c r="B44" s="88" t="s">
        <v>184</v>
      </c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</row>
    <row r="45" spans="1:15" ht="14.25" customHeight="1">
      <c r="A45" s="93" t="s">
        <v>185</v>
      </c>
      <c r="B45" s="95" t="s">
        <v>186</v>
      </c>
      <c r="C45" s="79" t="s">
        <v>187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</row>
    <row r="46" spans="1:15" ht="14.25" customHeight="1">
      <c r="A46" s="77" t="s">
        <v>188</v>
      </c>
      <c r="B46" s="80" t="s">
        <v>189</v>
      </c>
      <c r="C46" s="79" t="s">
        <v>18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ht="14.25" customHeight="1">
      <c r="A47" s="77" t="s">
        <v>190</v>
      </c>
      <c r="B47" s="80" t="s">
        <v>191</v>
      </c>
      <c r="C47" s="79" t="s">
        <v>21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</row>
    <row r="48" spans="1:15" ht="14.25" customHeight="1">
      <c r="A48" s="77" t="s">
        <v>192</v>
      </c>
      <c r="B48" s="85" t="s">
        <v>193</v>
      </c>
      <c r="C48" s="86" t="s">
        <v>174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</row>
    <row r="49" spans="1:15" ht="12.75" customHeight="1">
      <c r="A49" s="77" t="s">
        <v>194</v>
      </c>
      <c r="B49" s="80" t="s">
        <v>195</v>
      </c>
      <c r="C49" s="79" t="s">
        <v>18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1:15" ht="12" customHeight="1">
      <c r="A50" s="77" t="s">
        <v>196</v>
      </c>
      <c r="B50" s="95" t="s">
        <v>197</v>
      </c>
      <c r="C50" s="79" t="s">
        <v>174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1:15" ht="12.75" customHeight="1">
      <c r="A51" s="92">
        <v>5</v>
      </c>
      <c r="B51" s="88" t="s">
        <v>198</v>
      </c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13.5" customHeight="1">
      <c r="A52" s="77" t="s">
        <v>199</v>
      </c>
      <c r="B52" s="80" t="s">
        <v>200</v>
      </c>
      <c r="C52" s="79" t="s">
        <v>148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ht="13.5" customHeight="1">
      <c r="A53" s="77" t="s">
        <v>201</v>
      </c>
      <c r="B53" s="80" t="s">
        <v>202</v>
      </c>
      <c r="C53" s="79" t="s">
        <v>187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</row>
    <row r="54" spans="1:15" ht="14.25" customHeight="1">
      <c r="A54" s="77" t="s">
        <v>203</v>
      </c>
      <c r="B54" s="80" t="s">
        <v>204</v>
      </c>
      <c r="C54" s="79" t="s">
        <v>187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4.25" customHeight="1">
      <c r="A55" s="77" t="s">
        <v>205</v>
      </c>
      <c r="B55" s="80" t="s">
        <v>206</v>
      </c>
      <c r="C55" s="79" t="s">
        <v>18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4.25" customHeight="1">
      <c r="A56" s="92">
        <v>6</v>
      </c>
      <c r="B56" s="96" t="s">
        <v>207</v>
      </c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4.25" customHeight="1">
      <c r="A57" s="97" t="s">
        <v>208</v>
      </c>
      <c r="B57" s="95" t="s">
        <v>209</v>
      </c>
      <c r="C57" s="79" t="s">
        <v>161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4.25" customHeight="1">
      <c r="A58" s="97" t="s">
        <v>210</v>
      </c>
      <c r="B58" s="80" t="s">
        <v>211</v>
      </c>
      <c r="C58" s="79" t="s">
        <v>148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3.5" customHeight="1">
      <c r="A59" s="97" t="s">
        <v>212</v>
      </c>
      <c r="B59" s="80" t="s">
        <v>213</v>
      </c>
      <c r="C59" s="79" t="s">
        <v>187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</row>
    <row r="60" spans="1:15" ht="27.75" customHeight="1">
      <c r="A60" s="98" t="s">
        <v>214</v>
      </c>
      <c r="B60" s="78" t="s">
        <v>215</v>
      </c>
      <c r="C60" s="8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</row>
    <row r="61" spans="1:15" ht="14.25" customHeight="1">
      <c r="A61" s="99" t="s">
        <v>216</v>
      </c>
      <c r="B61" s="85" t="s">
        <v>217</v>
      </c>
      <c r="C61" s="86" t="s">
        <v>174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14.25" customHeight="1">
      <c r="A62" s="99" t="s">
        <v>218</v>
      </c>
      <c r="B62" s="85" t="s">
        <v>219</v>
      </c>
      <c r="C62" s="86" t="s">
        <v>174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</row>
    <row r="63" spans="1:15" ht="14.25" customHeight="1">
      <c r="A63" s="99" t="s">
        <v>220</v>
      </c>
      <c r="B63" s="85" t="s">
        <v>221</v>
      </c>
      <c r="C63" s="86" t="s">
        <v>174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</row>
    <row r="64" spans="1:15" ht="15" customHeight="1">
      <c r="A64" s="77" t="s">
        <v>222</v>
      </c>
      <c r="B64" s="85" t="s">
        <v>223</v>
      </c>
      <c r="C64" s="86" t="s">
        <v>174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1"/>
    </row>
    <row r="65" spans="1:15" ht="14.25" customHeight="1">
      <c r="A65" s="92">
        <v>8</v>
      </c>
      <c r="B65" s="100" t="s">
        <v>224</v>
      </c>
      <c r="C65" s="79" t="s">
        <v>187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1"/>
    </row>
    <row r="66" spans="1:15" ht="21.75" customHeight="1">
      <c r="A66" s="101">
        <v>9</v>
      </c>
      <c r="B66" s="102" t="s">
        <v>225</v>
      </c>
      <c r="C66" s="103"/>
      <c r="D66" s="104"/>
      <c r="E66" s="104"/>
      <c r="F66" s="104"/>
      <c r="G66" s="104"/>
      <c r="H66" s="104"/>
      <c r="I66" s="104">
        <v>36.12</v>
      </c>
      <c r="J66" s="104"/>
      <c r="K66" s="104">
        <v>36.12</v>
      </c>
      <c r="L66" s="104"/>
      <c r="M66" s="104"/>
      <c r="N66" s="104"/>
      <c r="O66" s="105"/>
    </row>
    <row r="67" spans="1:16" ht="15.75" customHeight="1">
      <c r="A67" s="106"/>
      <c r="B67" s="107"/>
      <c r="C67" s="108"/>
      <c r="D67" s="109"/>
      <c r="E67" s="109">
        <f>SUM(E13:E66)</f>
        <v>1307.7</v>
      </c>
      <c r="F67" s="109"/>
      <c r="G67" s="109">
        <f>SUM(G13:G66)</f>
        <v>993.817</v>
      </c>
      <c r="H67" s="109"/>
      <c r="I67" s="109">
        <f>SUM(I13:I66)</f>
        <v>2226.628</v>
      </c>
      <c r="J67" s="109"/>
      <c r="K67" s="109">
        <f>SUM(K13:K66)</f>
        <v>2221.154</v>
      </c>
      <c r="L67" s="109"/>
      <c r="M67" s="109">
        <f>SUM(M13:M66)</f>
        <v>0</v>
      </c>
      <c r="N67" s="109"/>
      <c r="O67" s="109">
        <f>SUM(O13:O66)</f>
        <v>0</v>
      </c>
      <c r="P67" s="110"/>
    </row>
    <row r="68" spans="1:15" ht="12.75">
      <c r="A68" s="228">
        <f>I67-K67</f>
        <v>5.47400000000016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67"/>
      <c r="M68" s="229"/>
      <c r="N68" s="229"/>
      <c r="O68" s="67"/>
    </row>
    <row r="69" spans="1:15" ht="12.75">
      <c r="A69" s="111"/>
      <c r="B69" s="112" t="s">
        <v>103</v>
      </c>
      <c r="C69" s="111"/>
      <c r="D69" s="111"/>
      <c r="E69" s="111"/>
      <c r="F69" s="111"/>
      <c r="G69" s="111"/>
      <c r="H69" s="111"/>
      <c r="I69" s="111"/>
      <c r="J69" s="111"/>
      <c r="K69" s="111"/>
      <c r="L69" s="67"/>
      <c r="M69" s="229" t="s">
        <v>28</v>
      </c>
      <c r="N69" s="229"/>
      <c r="O69" s="67"/>
    </row>
    <row r="70" spans="1:15" ht="12.75">
      <c r="A70" s="224" t="s">
        <v>226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67"/>
      <c r="M70" s="67"/>
      <c r="N70" s="67"/>
      <c r="O70" s="67"/>
    </row>
    <row r="71" spans="1:15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1:15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1:15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</sheetData>
  <sheetProtection/>
  <mergeCells count="23">
    <mergeCell ref="A7:O7"/>
    <mergeCell ref="A8:O8"/>
    <mergeCell ref="A1:E1"/>
    <mergeCell ref="A2:E2"/>
    <mergeCell ref="A5:O5"/>
    <mergeCell ref="A6:O6"/>
    <mergeCell ref="C9:C11"/>
    <mergeCell ref="D9:G9"/>
    <mergeCell ref="H9:K9"/>
    <mergeCell ref="L9:O9"/>
    <mergeCell ref="D10:E10"/>
    <mergeCell ref="F10:G10"/>
    <mergeCell ref="H10:I10"/>
    <mergeCell ref="J10:K10"/>
    <mergeCell ref="A70:K70"/>
    <mergeCell ref="L10:M10"/>
    <mergeCell ref="N10:O10"/>
    <mergeCell ref="C34:C35"/>
    <mergeCell ref="A68:K68"/>
    <mergeCell ref="M68:N68"/>
    <mergeCell ref="M69:N69"/>
    <mergeCell ref="A9:A11"/>
    <mergeCell ref="B9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A78" sqref="A78:H78"/>
    </sheetView>
  </sheetViews>
  <sheetFormatPr defaultColWidth="9.140625" defaultRowHeight="15"/>
  <cols>
    <col min="1" max="1" width="4.7109375" style="175" customWidth="1"/>
    <col min="2" max="2" width="26.57421875" style="3" customWidth="1"/>
    <col min="3" max="3" width="7.8515625" style="188" customWidth="1"/>
    <col min="4" max="4" width="7.57421875" style="188" customWidth="1"/>
    <col min="5" max="5" width="9.421875" style="188" customWidth="1"/>
    <col min="6" max="6" width="7.57421875" style="188" customWidth="1"/>
    <col min="7" max="7" width="9.421875" style="188" customWidth="1"/>
    <col min="8" max="8" width="7.57421875" style="3" customWidth="1"/>
    <col min="9" max="9" width="7.57421875" style="26" customWidth="1"/>
    <col min="10" max="10" width="8.8515625" style="3" customWidth="1"/>
    <col min="11" max="11" width="9.57421875" style="3" customWidth="1"/>
    <col min="12" max="12" width="18.57421875" style="3" customWidth="1"/>
    <col min="13" max="16384" width="9.140625" style="3" customWidth="1"/>
  </cols>
  <sheetData>
    <row r="1" spans="1:11" s="70" customFormat="1" ht="12.75">
      <c r="A1" s="113"/>
      <c r="B1" s="113"/>
      <c r="C1" s="114"/>
      <c r="D1" s="114"/>
      <c r="E1" s="113"/>
      <c r="F1" s="113"/>
      <c r="G1" s="113"/>
      <c r="H1" s="113"/>
      <c r="I1" s="239" t="s">
        <v>227</v>
      </c>
      <c r="J1" s="239"/>
      <c r="K1" s="239"/>
    </row>
    <row r="2" spans="1:11" s="70" customFormat="1" ht="12.75">
      <c r="A2" s="239" t="s">
        <v>228</v>
      </c>
      <c r="B2" s="239"/>
      <c r="C2" s="114"/>
      <c r="D2" s="114"/>
      <c r="E2" s="113"/>
      <c r="F2" s="113"/>
      <c r="G2" s="113"/>
      <c r="H2" s="113"/>
      <c r="I2" s="239" t="s">
        <v>229</v>
      </c>
      <c r="J2" s="239"/>
      <c r="K2" s="239"/>
    </row>
    <row r="3" spans="1:11" s="70" customFormat="1" ht="12.75">
      <c r="A3" s="239" t="s">
        <v>230</v>
      </c>
      <c r="B3" s="239"/>
      <c r="C3" s="114"/>
      <c r="D3" s="114"/>
      <c r="E3" s="113"/>
      <c r="F3" s="113"/>
      <c r="G3" s="115"/>
      <c r="H3" s="113"/>
      <c r="I3" s="239" t="s">
        <v>231</v>
      </c>
      <c r="J3" s="239"/>
      <c r="K3" s="239"/>
    </row>
    <row r="4" spans="1:11" s="70" customFormat="1" ht="12.75">
      <c r="A4" s="238" t="s">
        <v>232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s="70" customFormat="1" ht="12.75">
      <c r="A5" s="238" t="s">
        <v>233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s="70" customFormat="1" ht="12.75">
      <c r="A6" s="240" t="s">
        <v>234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9" s="70" customFormat="1" ht="12.75">
      <c r="A7" s="116"/>
      <c r="B7" s="116"/>
      <c r="C7" s="116"/>
      <c r="D7" s="116"/>
      <c r="E7" s="116"/>
      <c r="F7" s="116"/>
      <c r="G7" s="116"/>
      <c r="I7" s="110"/>
    </row>
    <row r="8" spans="1:12" s="70" customFormat="1" ht="12.75">
      <c r="A8" s="241" t="s">
        <v>235</v>
      </c>
      <c r="B8" s="242" t="s">
        <v>236</v>
      </c>
      <c r="C8" s="242" t="s">
        <v>10</v>
      </c>
      <c r="D8" s="242" t="s">
        <v>237</v>
      </c>
      <c r="E8" s="242"/>
      <c r="F8" s="242"/>
      <c r="G8" s="242"/>
      <c r="H8" s="242" t="s">
        <v>238</v>
      </c>
      <c r="I8" s="242"/>
      <c r="J8" s="242"/>
      <c r="K8" s="242"/>
      <c r="L8" s="242" t="s">
        <v>15</v>
      </c>
    </row>
    <row r="9" spans="1:12" s="70" customFormat="1" ht="12.75">
      <c r="A9" s="241"/>
      <c r="B9" s="242"/>
      <c r="C9" s="242"/>
      <c r="D9" s="249" t="s">
        <v>239</v>
      </c>
      <c r="E9" s="249"/>
      <c r="F9" s="249" t="s">
        <v>240</v>
      </c>
      <c r="G9" s="249"/>
      <c r="H9" s="249" t="s">
        <v>239</v>
      </c>
      <c r="I9" s="249"/>
      <c r="J9" s="249" t="s">
        <v>240</v>
      </c>
      <c r="K9" s="249"/>
      <c r="L9" s="248"/>
    </row>
    <row r="10" spans="1:12" s="119" customFormat="1" ht="39">
      <c r="A10" s="241"/>
      <c r="B10" s="242"/>
      <c r="C10" s="242"/>
      <c r="D10" s="117" t="s">
        <v>123</v>
      </c>
      <c r="E10" s="117" t="s">
        <v>241</v>
      </c>
      <c r="F10" s="117" t="s">
        <v>123</v>
      </c>
      <c r="G10" s="117" t="s">
        <v>241</v>
      </c>
      <c r="H10" s="117" t="s">
        <v>123</v>
      </c>
      <c r="I10" s="118" t="s">
        <v>241</v>
      </c>
      <c r="J10" s="117" t="s">
        <v>123</v>
      </c>
      <c r="K10" s="117" t="s">
        <v>241</v>
      </c>
      <c r="L10" s="248"/>
    </row>
    <row r="11" spans="1:12" s="126" customFormat="1" ht="12.75">
      <c r="A11" s="120">
        <v>1</v>
      </c>
      <c r="B11" s="121" t="s">
        <v>127</v>
      </c>
      <c r="C11" s="122"/>
      <c r="D11" s="122"/>
      <c r="E11" s="122"/>
      <c r="F11" s="122"/>
      <c r="G11" s="122"/>
      <c r="H11" s="123"/>
      <c r="I11" s="124"/>
      <c r="J11" s="123"/>
      <c r="K11" s="123"/>
      <c r="L11" s="125"/>
    </row>
    <row r="12" spans="1:12" s="70" customFormat="1" ht="12.75">
      <c r="A12" s="127" t="s">
        <v>242</v>
      </c>
      <c r="B12" s="128" t="s">
        <v>243</v>
      </c>
      <c r="C12" s="129"/>
      <c r="D12" s="129"/>
      <c r="E12" s="129"/>
      <c r="F12" s="129"/>
      <c r="G12" s="129"/>
      <c r="H12" s="128"/>
      <c r="I12" s="130"/>
      <c r="J12" s="128"/>
      <c r="K12" s="128" t="s">
        <v>244</v>
      </c>
      <c r="L12" s="131"/>
    </row>
    <row r="13" spans="1:12" s="70" customFormat="1" ht="12.75">
      <c r="A13" s="127" t="s">
        <v>245</v>
      </c>
      <c r="B13" s="128" t="s">
        <v>131</v>
      </c>
      <c r="C13" s="132" t="s">
        <v>18</v>
      </c>
      <c r="D13" s="49">
        <v>820</v>
      </c>
      <c r="E13" s="133">
        <f>100*D13/1000</f>
        <v>82</v>
      </c>
      <c r="F13" s="132">
        <f>735+760+450+100+1204+95</f>
        <v>3344</v>
      </c>
      <c r="G13" s="134">
        <f>58.07+53.73+29.2+84.03+99.076-0.03+9.43</f>
        <v>333.50600000000003</v>
      </c>
      <c r="H13" s="130"/>
      <c r="I13" s="130"/>
      <c r="J13" s="130"/>
      <c r="K13" s="130"/>
      <c r="L13" s="131"/>
    </row>
    <row r="14" spans="1:12" s="70" customFormat="1" ht="12.75">
      <c r="A14" s="127" t="s">
        <v>246</v>
      </c>
      <c r="B14" s="128" t="s">
        <v>133</v>
      </c>
      <c r="C14" s="132" t="s">
        <v>18</v>
      </c>
      <c r="D14" s="49"/>
      <c r="E14" s="133"/>
      <c r="F14" s="128">
        <v>2</v>
      </c>
      <c r="G14" s="128">
        <f>30/1000</f>
        <v>0.03</v>
      </c>
      <c r="H14" s="130"/>
      <c r="I14" s="130"/>
      <c r="J14" s="130"/>
      <c r="K14" s="130"/>
      <c r="L14" s="131"/>
    </row>
    <row r="15" spans="1:12" s="70" customFormat="1" ht="12.75">
      <c r="A15" s="127" t="s">
        <v>247</v>
      </c>
      <c r="B15" s="128" t="s">
        <v>135</v>
      </c>
      <c r="C15" s="132" t="s">
        <v>18</v>
      </c>
      <c r="D15" s="49"/>
      <c r="E15" s="133"/>
      <c r="F15" s="132">
        <v>2</v>
      </c>
      <c r="G15" s="134">
        <v>0.14</v>
      </c>
      <c r="H15" s="130"/>
      <c r="I15" s="130"/>
      <c r="J15" s="130"/>
      <c r="K15" s="130"/>
      <c r="L15" s="131"/>
    </row>
    <row r="16" spans="1:12" s="70" customFormat="1" ht="25.5">
      <c r="A16" s="127" t="s">
        <v>248</v>
      </c>
      <c r="B16" s="135" t="s">
        <v>249</v>
      </c>
      <c r="C16" s="132" t="s">
        <v>250</v>
      </c>
      <c r="D16" s="49"/>
      <c r="E16" s="133"/>
      <c r="F16" s="132">
        <f>10+28+1400</f>
        <v>1438</v>
      </c>
      <c r="G16" s="134">
        <f>5.51+15.83+2.33</f>
        <v>23.67</v>
      </c>
      <c r="H16" s="130"/>
      <c r="I16" s="130"/>
      <c r="J16" s="130"/>
      <c r="K16" s="130"/>
      <c r="L16" s="131"/>
    </row>
    <row r="17" spans="1:15" s="70" customFormat="1" ht="12.75">
      <c r="A17" s="127" t="s">
        <v>251</v>
      </c>
      <c r="B17" s="128" t="s">
        <v>252</v>
      </c>
      <c r="C17" s="132" t="s">
        <v>174</v>
      </c>
      <c r="D17" s="132"/>
      <c r="E17" s="134"/>
      <c r="F17" s="132"/>
      <c r="G17" s="134"/>
      <c r="H17" s="130"/>
      <c r="I17" s="130">
        <v>100.2</v>
      </c>
      <c r="J17" s="130"/>
      <c r="K17" s="130">
        <f>20.45+21.62+23.58+20.84+20.35+31.38+25.03+11.93+36.24+34.71+24.97+67.85+7.07+2.54+9.23</f>
        <v>357.7900000000001</v>
      </c>
      <c r="L17" s="136"/>
      <c r="O17" s="70">
        <f>9.23+7.07+2.54</f>
        <v>18.84</v>
      </c>
    </row>
    <row r="18" spans="1:12" s="70" customFormat="1" ht="12.75">
      <c r="A18" s="137" t="s">
        <v>253</v>
      </c>
      <c r="B18" s="138" t="s">
        <v>141</v>
      </c>
      <c r="C18" s="132"/>
      <c r="D18" s="132"/>
      <c r="E18" s="134"/>
      <c r="F18" s="132"/>
      <c r="G18" s="134"/>
      <c r="H18" s="130"/>
      <c r="I18" s="130"/>
      <c r="J18" s="130"/>
      <c r="K18" s="130"/>
      <c r="L18" s="131"/>
    </row>
    <row r="19" spans="1:12" s="145" customFormat="1" ht="12.75">
      <c r="A19" s="139" t="s">
        <v>254</v>
      </c>
      <c r="B19" s="140" t="s">
        <v>255</v>
      </c>
      <c r="C19" s="141"/>
      <c r="D19" s="142"/>
      <c r="E19" s="134"/>
      <c r="F19" s="132"/>
      <c r="G19" s="134"/>
      <c r="H19" s="143"/>
      <c r="I19" s="143"/>
      <c r="J19" s="143"/>
      <c r="K19" s="143"/>
      <c r="L19" s="144"/>
    </row>
    <row r="20" spans="1:12" s="70" customFormat="1" ht="15">
      <c r="A20" s="127" t="s">
        <v>256</v>
      </c>
      <c r="B20" s="128" t="s">
        <v>145</v>
      </c>
      <c r="C20" s="132" t="s">
        <v>174</v>
      </c>
      <c r="D20" s="146">
        <v>4</v>
      </c>
      <c r="E20" s="133">
        <f>2931*1.1*D20/1000</f>
        <v>12.896400000000002</v>
      </c>
      <c r="F20" s="132">
        <f>3+10+6+7+3</f>
        <v>29</v>
      </c>
      <c r="G20" s="134">
        <f>12.28+25.74+22.63+29.23+9.89</f>
        <v>99.77</v>
      </c>
      <c r="H20" s="130"/>
      <c r="I20" s="130"/>
      <c r="J20" s="130"/>
      <c r="K20" s="130"/>
      <c r="L20" s="131"/>
    </row>
    <row r="21" spans="1:14" s="70" customFormat="1" ht="15">
      <c r="A21" s="127" t="s">
        <v>257</v>
      </c>
      <c r="B21" s="128" t="s">
        <v>258</v>
      </c>
      <c r="C21" s="132" t="s">
        <v>259</v>
      </c>
      <c r="D21" s="146">
        <v>158</v>
      </c>
      <c r="E21" s="133">
        <f>103*1.1*D21/1000</f>
        <v>17.901400000000002</v>
      </c>
      <c r="F21" s="132">
        <f>6+79+46+16+7+23+4+8+83+37+54+36+50</f>
        <v>449</v>
      </c>
      <c r="G21" s="134">
        <f>6.44+5.36+2.6+0.93+1.54+0.43+1.06+8.22+2.38+4.3+3.21+3.46</f>
        <v>39.93</v>
      </c>
      <c r="H21" s="130"/>
      <c r="I21" s="130"/>
      <c r="J21" s="130"/>
      <c r="K21" s="130"/>
      <c r="L21" s="131"/>
      <c r="N21" s="70">
        <v>3.46</v>
      </c>
    </row>
    <row r="22" spans="1:12" s="70" customFormat="1" ht="15">
      <c r="A22" s="127" t="s">
        <v>260</v>
      </c>
      <c r="B22" s="128" t="s">
        <v>261</v>
      </c>
      <c r="C22" s="132" t="s">
        <v>174</v>
      </c>
      <c r="D22" s="146"/>
      <c r="E22" s="133"/>
      <c r="F22" s="132">
        <f>1+1+7+191+10+3</f>
        <v>213</v>
      </c>
      <c r="G22" s="134">
        <f>0.83+0.64+4.48+26.62+6.4+1.92</f>
        <v>40.89</v>
      </c>
      <c r="H22" s="130"/>
      <c r="I22" s="130"/>
      <c r="J22" s="130"/>
      <c r="K22" s="130"/>
      <c r="L22" s="131"/>
    </row>
    <row r="23" spans="1:14" s="70" customFormat="1" ht="15">
      <c r="A23" s="127" t="s">
        <v>262</v>
      </c>
      <c r="B23" s="128" t="s">
        <v>150</v>
      </c>
      <c r="C23" s="132" t="s">
        <v>174</v>
      </c>
      <c r="D23" s="146">
        <v>679</v>
      </c>
      <c r="E23" s="133">
        <f>107.47*1.1*D23/1000</f>
        <v>80.269343</v>
      </c>
      <c r="F23" s="132">
        <f>121+48+28+9+392+67+492+171+68+47+56</f>
        <v>1499</v>
      </c>
      <c r="G23" s="134">
        <f>12.89+4.67+2.62+0.78+40.34+6.68+46.34+17.62+11.83+7.27+9.18</f>
        <v>160.22000000000006</v>
      </c>
      <c r="H23" s="130"/>
      <c r="I23" s="130"/>
      <c r="J23" s="130"/>
      <c r="K23" s="130"/>
      <c r="L23" s="131"/>
      <c r="N23" s="70">
        <v>9.18</v>
      </c>
    </row>
    <row r="24" spans="1:12" s="70" customFormat="1" ht="22.5">
      <c r="A24" s="127" t="s">
        <v>263</v>
      </c>
      <c r="B24" s="147" t="s">
        <v>264</v>
      </c>
      <c r="C24" s="148" t="s">
        <v>265</v>
      </c>
      <c r="D24" s="132"/>
      <c r="E24" s="134"/>
      <c r="F24" s="132"/>
      <c r="G24" s="134"/>
      <c r="H24" s="130"/>
      <c r="I24" s="130"/>
      <c r="J24" s="130"/>
      <c r="K24" s="130"/>
      <c r="L24" s="131"/>
    </row>
    <row r="25" spans="1:14" s="70" customFormat="1" ht="12.75">
      <c r="A25" s="127"/>
      <c r="B25" s="128" t="s">
        <v>266</v>
      </c>
      <c r="C25" s="132"/>
      <c r="D25" s="132">
        <f>8+61</f>
        <v>69</v>
      </c>
      <c r="E25" s="133">
        <f>343*D25/1000</f>
        <v>23.667</v>
      </c>
      <c r="F25" s="130">
        <f>61+29+14+5+18+14+3+19</f>
        <v>163</v>
      </c>
      <c r="G25" s="134">
        <f>20.96+9.96+4.84+1.73+6.26+5.02+1.14+7.21</f>
        <v>57.12</v>
      </c>
      <c r="H25" s="130"/>
      <c r="I25" s="130"/>
      <c r="J25" s="130"/>
      <c r="K25" s="130"/>
      <c r="L25" s="131"/>
      <c r="N25" s="70">
        <v>7.21</v>
      </c>
    </row>
    <row r="26" spans="1:14" s="70" customFormat="1" ht="12.75">
      <c r="A26" s="127"/>
      <c r="B26" s="128" t="s">
        <v>267</v>
      </c>
      <c r="C26" s="132"/>
      <c r="D26" s="132">
        <v>0</v>
      </c>
      <c r="E26" s="133">
        <f>343*D26/1000</f>
        <v>0</v>
      </c>
      <c r="F26" s="132">
        <f>18+25+43+3+17+184+88+46+28</f>
        <v>452</v>
      </c>
      <c r="G26" s="134">
        <f>6.184+8.59+14.86+1.09+6.21+19.46+17.4+32.79+17.46+10.63</f>
        <v>134.674</v>
      </c>
      <c r="H26" s="130"/>
      <c r="I26" s="130"/>
      <c r="J26" s="130"/>
      <c r="K26" s="130"/>
      <c r="L26" s="131"/>
      <c r="N26" s="70">
        <v>10.63</v>
      </c>
    </row>
    <row r="27" spans="1:12" s="145" customFormat="1" ht="12.75">
      <c r="A27" s="139" t="s">
        <v>268</v>
      </c>
      <c r="B27" s="140" t="s">
        <v>269</v>
      </c>
      <c r="C27" s="141"/>
      <c r="D27" s="142"/>
      <c r="E27" s="149"/>
      <c r="F27" s="142"/>
      <c r="G27" s="149"/>
      <c r="H27" s="143"/>
      <c r="I27" s="143"/>
      <c r="J27" s="143"/>
      <c r="K27" s="143"/>
      <c r="L27" s="144"/>
    </row>
    <row r="28" spans="1:12" s="70" customFormat="1" ht="12.75">
      <c r="A28" s="127" t="s">
        <v>270</v>
      </c>
      <c r="B28" s="128" t="s">
        <v>145</v>
      </c>
      <c r="C28" s="132" t="s">
        <v>174</v>
      </c>
      <c r="D28" s="132">
        <v>4</v>
      </c>
      <c r="E28" s="134">
        <f>2430*1.1*D28/1000</f>
        <v>10.692</v>
      </c>
      <c r="F28" s="132">
        <f>12+2+2+1+2</f>
        <v>19</v>
      </c>
      <c r="G28" s="134">
        <f>0.15+1.36+4.76+2.18+5.51</f>
        <v>13.959999999999999</v>
      </c>
      <c r="H28" s="130"/>
      <c r="I28" s="130"/>
      <c r="J28" s="130"/>
      <c r="K28" s="130"/>
      <c r="L28" s="131"/>
    </row>
    <row r="29" spans="1:14" s="70" customFormat="1" ht="12.75">
      <c r="A29" s="127" t="s">
        <v>271</v>
      </c>
      <c r="B29" s="128" t="s">
        <v>258</v>
      </c>
      <c r="C29" s="132" t="s">
        <v>259</v>
      </c>
      <c r="D29" s="132">
        <v>230</v>
      </c>
      <c r="E29" s="134">
        <f>161.49*1.1*D29/1000</f>
        <v>40.85697000000001</v>
      </c>
      <c r="F29" s="132">
        <f>3+6+19+2+10</f>
        <v>40</v>
      </c>
      <c r="G29" s="134">
        <f>0.52+0.79+3.11+0.35+0.72</f>
        <v>5.489999999999999</v>
      </c>
      <c r="H29" s="130"/>
      <c r="I29" s="130"/>
      <c r="J29" s="130"/>
      <c r="K29" s="130"/>
      <c r="L29" s="131"/>
      <c r="N29" s="70">
        <v>0.72</v>
      </c>
    </row>
    <row r="30" spans="1:12" s="70" customFormat="1" ht="12.75">
      <c r="A30" s="127" t="s">
        <v>272</v>
      </c>
      <c r="B30" s="128" t="s">
        <v>261</v>
      </c>
      <c r="C30" s="132" t="s">
        <v>174</v>
      </c>
      <c r="D30" s="132"/>
      <c r="E30" s="134"/>
      <c r="F30" s="132">
        <f>2+2</f>
        <v>4</v>
      </c>
      <c r="G30" s="134">
        <f>0.83+0.83+1.61</f>
        <v>3.27</v>
      </c>
      <c r="H30" s="130"/>
      <c r="I30" s="130"/>
      <c r="J30" s="130"/>
      <c r="K30" s="130"/>
      <c r="L30" s="131"/>
    </row>
    <row r="31" spans="1:14" s="70" customFormat="1" ht="12.75">
      <c r="A31" s="127" t="s">
        <v>273</v>
      </c>
      <c r="B31" s="128" t="s">
        <v>150</v>
      </c>
      <c r="C31" s="132" t="s">
        <v>174</v>
      </c>
      <c r="D31" s="132">
        <v>144</v>
      </c>
      <c r="E31" s="134">
        <f>182.66*1.1*D31/1000</f>
        <v>28.933344</v>
      </c>
      <c r="F31" s="132">
        <f>17+12+2+79+2+5+1+26</f>
        <v>144</v>
      </c>
      <c r="G31" s="134">
        <f>1.22+0.58+1.16+0.3+8.52+0.53+0.7+0.13+5.64</f>
        <v>18.779999999999998</v>
      </c>
      <c r="H31" s="130"/>
      <c r="I31" s="130"/>
      <c r="J31" s="130"/>
      <c r="K31" s="130"/>
      <c r="L31" s="131"/>
      <c r="N31" s="70">
        <v>5.64</v>
      </c>
    </row>
    <row r="32" spans="1:12" s="145" customFormat="1" ht="12.75">
      <c r="A32" s="139" t="s">
        <v>274</v>
      </c>
      <c r="B32" s="140" t="s">
        <v>275</v>
      </c>
      <c r="C32" s="141"/>
      <c r="D32" s="142"/>
      <c r="E32" s="149"/>
      <c r="F32" s="142"/>
      <c r="G32" s="149"/>
      <c r="H32" s="143"/>
      <c r="I32" s="143"/>
      <c r="J32" s="143"/>
      <c r="K32" s="143"/>
      <c r="L32" s="144"/>
    </row>
    <row r="33" spans="1:12" s="70" customFormat="1" ht="12.75">
      <c r="A33" s="127" t="s">
        <v>276</v>
      </c>
      <c r="B33" s="128" t="s">
        <v>145</v>
      </c>
      <c r="C33" s="132" t="s">
        <v>174</v>
      </c>
      <c r="D33" s="132">
        <v>2</v>
      </c>
      <c r="E33" s="134">
        <f>2.38*D33</f>
        <v>4.76</v>
      </c>
      <c r="F33" s="132">
        <f>2+1+10+1</f>
        <v>14</v>
      </c>
      <c r="G33" s="134">
        <f>4.76+6.08+1.37+6.25</f>
        <v>18.46</v>
      </c>
      <c r="H33" s="130"/>
      <c r="I33" s="130"/>
      <c r="J33" s="130"/>
      <c r="K33" s="130"/>
      <c r="L33" s="131"/>
    </row>
    <row r="34" spans="1:12" s="70" customFormat="1" ht="12.75">
      <c r="A34" s="127" t="s">
        <v>277</v>
      </c>
      <c r="B34" s="128" t="s">
        <v>258</v>
      </c>
      <c r="C34" s="132" t="s">
        <v>259</v>
      </c>
      <c r="D34" s="132">
        <v>0</v>
      </c>
      <c r="E34" s="134">
        <f>201.5*1.1*D34/1000</f>
        <v>0</v>
      </c>
      <c r="F34" s="132">
        <f>48+26+7+2+12+15+6+7</f>
        <v>123</v>
      </c>
      <c r="G34" s="134">
        <f>3.11+2.22+1.08+0.17+1.18+1.3+0.7+0.76</f>
        <v>10.52</v>
      </c>
      <c r="H34" s="130"/>
      <c r="I34" s="130"/>
      <c r="J34" s="130"/>
      <c r="K34" s="130"/>
      <c r="L34" s="131"/>
    </row>
    <row r="35" spans="1:14" s="70" customFormat="1" ht="12.75">
      <c r="A35" s="127" t="s">
        <v>278</v>
      </c>
      <c r="B35" s="128" t="s">
        <v>150</v>
      </c>
      <c r="C35" s="132" t="s">
        <v>174</v>
      </c>
      <c r="D35" s="132">
        <v>84</v>
      </c>
      <c r="E35" s="134">
        <f>135.67*1.1*D35/1000</f>
        <v>12.535908</v>
      </c>
      <c r="F35" s="132">
        <f>1+37+29+86+28+17+25+16+20+17+26+11+36</f>
        <v>349</v>
      </c>
      <c r="G35" s="134">
        <f>3.83+0.15+5.11+10.63+2.25+2.604+3.14+2.24+2.12+1.81+2.88+1.79+1.47+4.24</f>
        <v>44.264</v>
      </c>
      <c r="H35" s="130"/>
      <c r="I35" s="130"/>
      <c r="J35" s="130"/>
      <c r="K35" s="130"/>
      <c r="L35" s="131"/>
      <c r="N35" s="70">
        <v>4.24</v>
      </c>
    </row>
    <row r="36" spans="1:12" s="145" customFormat="1" ht="38.25">
      <c r="A36" s="139" t="s">
        <v>279</v>
      </c>
      <c r="B36" s="150" t="s">
        <v>280</v>
      </c>
      <c r="C36" s="141"/>
      <c r="D36" s="142"/>
      <c r="E36" s="149"/>
      <c r="F36" s="142">
        <f>8+28</f>
        <v>36</v>
      </c>
      <c r="G36" s="149">
        <f>0.52+1.34</f>
        <v>1.86</v>
      </c>
      <c r="H36" s="143"/>
      <c r="I36" s="143"/>
      <c r="J36" s="143"/>
      <c r="K36" s="143"/>
      <c r="L36" s="144"/>
    </row>
    <row r="37" spans="1:12" s="70" customFormat="1" ht="12.75">
      <c r="A37" s="127" t="s">
        <v>281</v>
      </c>
      <c r="B37" s="128" t="s">
        <v>282</v>
      </c>
      <c r="C37" s="250" t="s">
        <v>167</v>
      </c>
      <c r="D37" s="132">
        <v>158</v>
      </c>
      <c r="E37" s="134">
        <f>15.2*D37/1000</f>
        <v>2.4015999999999997</v>
      </c>
      <c r="F37" s="132">
        <v>52</v>
      </c>
      <c r="G37" s="134">
        <v>2.12</v>
      </c>
      <c r="H37" s="130"/>
      <c r="I37" s="130"/>
      <c r="J37" s="130"/>
      <c r="K37" s="130"/>
      <c r="L37" s="131"/>
    </row>
    <row r="38" spans="1:14" s="70" customFormat="1" ht="12.75">
      <c r="A38" s="127" t="s">
        <v>283</v>
      </c>
      <c r="B38" s="128" t="s">
        <v>284</v>
      </c>
      <c r="C38" s="250"/>
      <c r="D38" s="132">
        <v>230</v>
      </c>
      <c r="E38" s="134">
        <f>15.2*D38/1000</f>
        <v>3.496</v>
      </c>
      <c r="F38" s="132">
        <f>10+6+150+54+238+316+266+64</f>
        <v>1104</v>
      </c>
      <c r="G38" s="134">
        <f>0.4+0.045+0.25+27.15+2.57+14.24+12.88+22.42+6.88</f>
        <v>86.83500000000001</v>
      </c>
      <c r="H38" s="130"/>
      <c r="I38" s="130"/>
      <c r="J38" s="130"/>
      <c r="K38" s="130"/>
      <c r="L38" s="131"/>
      <c r="N38" s="70">
        <v>1.34</v>
      </c>
    </row>
    <row r="39" spans="1:12" s="157" customFormat="1" ht="12.75">
      <c r="A39" s="151" t="s">
        <v>285</v>
      </c>
      <c r="B39" s="150" t="s">
        <v>286</v>
      </c>
      <c r="C39" s="152" t="s">
        <v>161</v>
      </c>
      <c r="D39" s="153"/>
      <c r="E39" s="154"/>
      <c r="F39" s="153"/>
      <c r="G39" s="154"/>
      <c r="H39" s="155"/>
      <c r="I39" s="155"/>
      <c r="J39" s="155"/>
      <c r="K39" s="155"/>
      <c r="L39" s="156"/>
    </row>
    <row r="40" spans="1:14" s="70" customFormat="1" ht="12.75">
      <c r="A40" s="127" t="s">
        <v>287</v>
      </c>
      <c r="B40" s="128" t="s">
        <v>258</v>
      </c>
      <c r="C40" s="132" t="s">
        <v>148</v>
      </c>
      <c r="D40" s="132">
        <v>247</v>
      </c>
      <c r="E40" s="134">
        <f>112.8*D40/1000</f>
        <v>27.8616</v>
      </c>
      <c r="F40" s="132">
        <f>14.9+1.5+7+5.75+202+7.65+5.75+7.8+6+17+8.5</f>
        <v>283.85</v>
      </c>
      <c r="G40" s="134">
        <f>1.97+0.11+1.15+0.42+35.73+0.88+0.7+2.25+0.77+1.91+1.26</f>
        <v>47.15</v>
      </c>
      <c r="H40" s="130"/>
      <c r="I40" s="130"/>
      <c r="J40" s="130"/>
      <c r="K40" s="130">
        <v>210.71</v>
      </c>
      <c r="L40" s="131"/>
      <c r="N40" s="70">
        <v>1.26</v>
      </c>
    </row>
    <row r="41" spans="1:12" s="159" customFormat="1" ht="12.75">
      <c r="A41" s="139" t="s">
        <v>288</v>
      </c>
      <c r="B41" s="140" t="s">
        <v>289</v>
      </c>
      <c r="C41" s="141"/>
      <c r="D41" s="142"/>
      <c r="E41" s="149"/>
      <c r="F41" s="142"/>
      <c r="G41" s="149"/>
      <c r="H41" s="142"/>
      <c r="I41" s="142"/>
      <c r="J41" s="142"/>
      <c r="K41" s="142"/>
      <c r="L41" s="158"/>
    </row>
    <row r="42" spans="1:12" s="70" customFormat="1" ht="12.75">
      <c r="A42" s="127" t="s">
        <v>290</v>
      </c>
      <c r="B42" s="128" t="s">
        <v>291</v>
      </c>
      <c r="C42" s="132" t="s">
        <v>174</v>
      </c>
      <c r="D42" s="132"/>
      <c r="E42" s="134"/>
      <c r="F42" s="132"/>
      <c r="G42" s="134"/>
      <c r="H42" s="130"/>
      <c r="I42" s="130">
        <v>64.4</v>
      </c>
      <c r="J42" s="130">
        <f>1+1+1+1</f>
        <v>4</v>
      </c>
      <c r="K42" s="130">
        <f>16.12+6.33+31.71</f>
        <v>54.160000000000004</v>
      </c>
      <c r="L42" s="131"/>
    </row>
    <row r="43" spans="1:12" s="70" customFormat="1" ht="12.75">
      <c r="A43" s="127" t="s">
        <v>292</v>
      </c>
      <c r="B43" s="128" t="s">
        <v>181</v>
      </c>
      <c r="C43" s="132" t="s">
        <v>174</v>
      </c>
      <c r="D43" s="132"/>
      <c r="E43" s="134"/>
      <c r="F43" s="132"/>
      <c r="G43" s="134"/>
      <c r="H43" s="130"/>
      <c r="I43" s="130"/>
      <c r="J43" s="130"/>
      <c r="K43" s="130"/>
      <c r="L43" s="131"/>
    </row>
    <row r="44" spans="1:12" s="145" customFormat="1" ht="12.75">
      <c r="A44" s="139" t="s">
        <v>293</v>
      </c>
      <c r="B44" s="140" t="s">
        <v>294</v>
      </c>
      <c r="C44" s="141"/>
      <c r="D44" s="142"/>
      <c r="E44" s="149"/>
      <c r="F44" s="142"/>
      <c r="G44" s="149"/>
      <c r="H44" s="143"/>
      <c r="I44" s="143"/>
      <c r="J44" s="143"/>
      <c r="K44" s="143"/>
      <c r="L44" s="144"/>
    </row>
    <row r="45" spans="1:12" s="70" customFormat="1" ht="12.75">
      <c r="A45" s="137" t="s">
        <v>295</v>
      </c>
      <c r="B45" s="160" t="s">
        <v>296</v>
      </c>
      <c r="C45" s="148" t="s">
        <v>297</v>
      </c>
      <c r="D45" s="132"/>
      <c r="E45" s="134"/>
      <c r="F45" s="132">
        <f>4+2+4+6+4+2+1+2+1+2</f>
        <v>28</v>
      </c>
      <c r="G45" s="134"/>
      <c r="H45" s="130"/>
      <c r="I45" s="130"/>
      <c r="J45" s="130"/>
      <c r="K45" s="130"/>
      <c r="L45" s="131"/>
    </row>
    <row r="46" spans="1:14" s="70" customFormat="1" ht="12.75">
      <c r="A46" s="127" t="s">
        <v>298</v>
      </c>
      <c r="B46" s="128" t="s">
        <v>189</v>
      </c>
      <c r="C46" s="132" t="s">
        <v>18</v>
      </c>
      <c r="D46" s="132">
        <v>21250</v>
      </c>
      <c r="E46" s="134">
        <f>34.7*D46/1000</f>
        <v>737.3750000000001</v>
      </c>
      <c r="F46" s="132">
        <f>992+365+1240+749.1+1540+1620+360+508+153+346</f>
        <v>7873.1</v>
      </c>
      <c r="G46" s="134">
        <f>34.46+3.58+27.19+13.33+27.02+48.225+5.15+9.42+10.28</f>
        <v>178.655</v>
      </c>
      <c r="H46" s="130"/>
      <c r="I46" s="130"/>
      <c r="J46" s="130"/>
      <c r="K46" s="130"/>
      <c r="L46" s="136"/>
      <c r="N46" s="70">
        <v>10.28</v>
      </c>
    </row>
    <row r="47" spans="1:12" s="70" customFormat="1" ht="12.75">
      <c r="A47" s="127" t="s">
        <v>299</v>
      </c>
      <c r="B47" s="128" t="s">
        <v>300</v>
      </c>
      <c r="C47" s="132" t="s">
        <v>174</v>
      </c>
      <c r="D47" s="132"/>
      <c r="E47" s="134"/>
      <c r="F47" s="132">
        <v>1</v>
      </c>
      <c r="G47" s="134">
        <v>10</v>
      </c>
      <c r="H47" s="130"/>
      <c r="I47" s="130"/>
      <c r="J47" s="130"/>
      <c r="K47" s="130"/>
      <c r="L47" s="131"/>
    </row>
    <row r="48" spans="1:12" s="70" customFormat="1" ht="12.75">
      <c r="A48" s="127" t="s">
        <v>301</v>
      </c>
      <c r="B48" s="128" t="s">
        <v>193</v>
      </c>
      <c r="C48" s="132" t="s">
        <v>174</v>
      </c>
      <c r="D48" s="132"/>
      <c r="E48" s="134"/>
      <c r="F48" s="132"/>
      <c r="G48" s="134"/>
      <c r="H48" s="130"/>
      <c r="I48" s="130"/>
      <c r="J48" s="130"/>
      <c r="K48" s="130"/>
      <c r="L48" s="131"/>
    </row>
    <row r="49" spans="1:14" s="70" customFormat="1" ht="12.75">
      <c r="A49" s="127" t="s">
        <v>302</v>
      </c>
      <c r="B49" s="128" t="s">
        <v>195</v>
      </c>
      <c r="C49" s="132" t="s">
        <v>18</v>
      </c>
      <c r="D49" s="132">
        <v>208</v>
      </c>
      <c r="E49" s="134">
        <f>180*D49/1000</f>
        <v>37.44</v>
      </c>
      <c r="F49" s="132">
        <f>92+106.2+18.72+8.32+6.24+10.4+5.2+1.04+1.04+4.16+4.16+68.64</f>
        <v>326.11999999999995</v>
      </c>
      <c r="G49" s="134">
        <f>16.7+18.87+2.79+1.51+1.11+2.45+1.045+0.22+0.136+0.544+0.69+8.98</f>
        <v>55.045</v>
      </c>
      <c r="H49" s="130"/>
      <c r="I49" s="130"/>
      <c r="J49" s="130"/>
      <c r="K49" s="130"/>
      <c r="L49" s="131"/>
      <c r="N49" s="70">
        <v>8.98</v>
      </c>
    </row>
    <row r="50" spans="1:14" s="70" customFormat="1" ht="12.75">
      <c r="A50" s="137" t="s">
        <v>303</v>
      </c>
      <c r="B50" s="160" t="s">
        <v>197</v>
      </c>
      <c r="C50" s="132" t="s">
        <v>174</v>
      </c>
      <c r="D50" s="132"/>
      <c r="E50" s="134"/>
      <c r="F50" s="132">
        <f>1+2+1+19+1</f>
        <v>24</v>
      </c>
      <c r="G50" s="134">
        <f>2.98+6.4+3.58+2.84+9.47</f>
        <v>25.270000000000003</v>
      </c>
      <c r="H50" s="130"/>
      <c r="I50" s="130"/>
      <c r="J50" s="130"/>
      <c r="K50" s="130"/>
      <c r="L50" s="131"/>
      <c r="N50" s="70">
        <v>9.47</v>
      </c>
    </row>
    <row r="51" spans="1:12" s="145" customFormat="1" ht="12.75">
      <c r="A51" s="139" t="s">
        <v>304</v>
      </c>
      <c r="B51" s="140" t="s">
        <v>305</v>
      </c>
      <c r="C51" s="141"/>
      <c r="D51" s="142"/>
      <c r="E51" s="149"/>
      <c r="F51" s="142"/>
      <c r="G51" s="149"/>
      <c r="H51" s="143"/>
      <c r="I51" s="143"/>
      <c r="J51" s="143"/>
      <c r="K51" s="143"/>
      <c r="L51" s="144"/>
    </row>
    <row r="52" spans="1:12" s="70" customFormat="1" ht="12.75">
      <c r="A52" s="127" t="s">
        <v>306</v>
      </c>
      <c r="B52" s="128" t="s">
        <v>200</v>
      </c>
      <c r="C52" s="132" t="s">
        <v>148</v>
      </c>
      <c r="D52" s="132"/>
      <c r="E52" s="134"/>
      <c r="F52" s="132"/>
      <c r="G52" s="134"/>
      <c r="H52" s="130"/>
      <c r="I52" s="130"/>
      <c r="J52" s="130"/>
      <c r="K52" s="130"/>
      <c r="L52" s="131"/>
    </row>
    <row r="53" spans="1:12" s="70" customFormat="1" ht="12.75">
      <c r="A53" s="127" t="s">
        <v>307</v>
      </c>
      <c r="B53" s="130" t="s">
        <v>308</v>
      </c>
      <c r="C53" s="132" t="s">
        <v>174</v>
      </c>
      <c r="D53" s="132">
        <v>5</v>
      </c>
      <c r="E53" s="134">
        <f>5.1*D53</f>
        <v>25.5</v>
      </c>
      <c r="F53" s="132">
        <v>3</v>
      </c>
      <c r="G53" s="134">
        <v>1.45</v>
      </c>
      <c r="H53" s="130"/>
      <c r="I53" s="130"/>
      <c r="J53" s="130"/>
      <c r="K53" s="130"/>
      <c r="L53" s="131"/>
    </row>
    <row r="54" spans="1:14" s="70" customFormat="1" ht="24">
      <c r="A54" s="127" t="s">
        <v>309</v>
      </c>
      <c r="B54" s="161" t="s">
        <v>310</v>
      </c>
      <c r="C54" s="132" t="s">
        <v>174</v>
      </c>
      <c r="D54" s="132">
        <v>11</v>
      </c>
      <c r="E54" s="134">
        <f>1232*1.1*D54/1000</f>
        <v>14.907200000000001</v>
      </c>
      <c r="F54" s="132">
        <f>1+1+1+1+1+1+1+1+1+12+9+3+2</f>
        <v>35</v>
      </c>
      <c r="G54" s="134">
        <f>1.71+0.107+0.74+0.13+0.32+0.9+0.03+0.33+1.17+5.44+27.54+19.94+6.08</f>
        <v>64.437</v>
      </c>
      <c r="H54" s="130"/>
      <c r="I54" s="130"/>
      <c r="J54" s="130"/>
      <c r="K54" s="130"/>
      <c r="L54" s="131"/>
      <c r="N54" s="70">
        <v>6.08</v>
      </c>
    </row>
    <row r="55" spans="1:12" s="70" customFormat="1" ht="12.75">
      <c r="A55" s="127" t="s">
        <v>311</v>
      </c>
      <c r="B55" s="130" t="s">
        <v>312</v>
      </c>
      <c r="C55" s="132" t="s">
        <v>18</v>
      </c>
      <c r="D55" s="132">
        <v>2143</v>
      </c>
      <c r="E55" s="134">
        <f>16*1.1*D55/1000</f>
        <v>37.716800000000006</v>
      </c>
      <c r="F55" s="132">
        <f>180+212.2+138.2+26.2+1000+136+2.5</f>
        <v>1695.1</v>
      </c>
      <c r="G55" s="134">
        <f>0.97+3.6+2.66+1.04+2.36+5.79+5.42+0.21</f>
        <v>22.049999999999997</v>
      </c>
      <c r="H55" s="130"/>
      <c r="I55" s="130"/>
      <c r="J55" s="130"/>
      <c r="K55" s="130"/>
      <c r="L55" s="131"/>
    </row>
    <row r="56" spans="1:12" s="70" customFormat="1" ht="12.75">
      <c r="A56" s="127" t="s">
        <v>313</v>
      </c>
      <c r="B56" s="130" t="s">
        <v>314</v>
      </c>
      <c r="C56" s="132" t="s">
        <v>18</v>
      </c>
      <c r="D56" s="132">
        <v>986</v>
      </c>
      <c r="E56" s="134">
        <f>750*D56/1000</f>
        <v>739.5</v>
      </c>
      <c r="F56" s="132">
        <v>6</v>
      </c>
      <c r="G56" s="134">
        <v>5.12</v>
      </c>
      <c r="H56" s="130"/>
      <c r="I56" s="130"/>
      <c r="J56" s="130">
        <f>231.68+147.68+172.46+172.24</f>
        <v>724.0600000000001</v>
      </c>
      <c r="K56" s="130">
        <v>496.76</v>
      </c>
      <c r="L56" s="131"/>
    </row>
    <row r="57" spans="1:12" s="157" customFormat="1" ht="25.5">
      <c r="A57" s="151" t="s">
        <v>315</v>
      </c>
      <c r="B57" s="153" t="s">
        <v>316</v>
      </c>
      <c r="C57" s="152"/>
      <c r="D57" s="153"/>
      <c r="E57" s="154"/>
      <c r="F57" s="153"/>
      <c r="G57" s="154"/>
      <c r="H57" s="155"/>
      <c r="I57" s="155"/>
      <c r="J57" s="155"/>
      <c r="K57" s="155"/>
      <c r="L57" s="156"/>
    </row>
    <row r="58" spans="1:14" s="70" customFormat="1" ht="12.75">
      <c r="A58" s="127" t="s">
        <v>317</v>
      </c>
      <c r="B58" s="130" t="s">
        <v>318</v>
      </c>
      <c r="C58" s="132" t="s">
        <v>148</v>
      </c>
      <c r="D58" s="132">
        <v>280</v>
      </c>
      <c r="E58" s="134">
        <f>18*D58/1000</f>
        <v>5.04</v>
      </c>
      <c r="F58" s="132">
        <f>155+28+45+67+60+20+50+68+102+17</f>
        <v>612</v>
      </c>
      <c r="G58" s="134">
        <f>2.8+0.43+0.16+2.13+0.36+1.4+1.69+0.95+0.73+0.26</f>
        <v>10.909999999999998</v>
      </c>
      <c r="H58" s="130"/>
      <c r="I58" s="130"/>
      <c r="J58" s="130"/>
      <c r="K58" s="130"/>
      <c r="L58" s="131"/>
      <c r="N58" s="70">
        <v>0.26</v>
      </c>
    </row>
    <row r="59" spans="1:12" s="70" customFormat="1" ht="12.75">
      <c r="A59" s="127" t="s">
        <v>319</v>
      </c>
      <c r="B59" s="130" t="s">
        <v>213</v>
      </c>
      <c r="C59" s="132" t="s">
        <v>187</v>
      </c>
      <c r="D59" s="132">
        <v>60</v>
      </c>
      <c r="E59" s="134">
        <f>3243*D59/1000</f>
        <v>194.58</v>
      </c>
      <c r="F59" s="132"/>
      <c r="G59" s="134"/>
      <c r="H59" s="130"/>
      <c r="I59" s="130"/>
      <c r="J59" s="130"/>
      <c r="K59" s="130"/>
      <c r="L59" s="131"/>
    </row>
    <row r="60" spans="1:12" s="70" customFormat="1" ht="38.25">
      <c r="A60" s="127" t="s">
        <v>320</v>
      </c>
      <c r="B60" s="161" t="s">
        <v>321</v>
      </c>
      <c r="C60" s="132" t="s">
        <v>161</v>
      </c>
      <c r="D60" s="130"/>
      <c r="E60" s="130"/>
      <c r="F60" s="132"/>
      <c r="G60" s="134"/>
      <c r="H60" s="132"/>
      <c r="I60" s="134"/>
      <c r="J60" s="130"/>
      <c r="K60" s="130"/>
      <c r="L60" s="131"/>
    </row>
    <row r="61" spans="1:12" s="145" customFormat="1" ht="25.5">
      <c r="A61" s="139" t="s">
        <v>214</v>
      </c>
      <c r="B61" s="153" t="s">
        <v>322</v>
      </c>
      <c r="C61" s="141"/>
      <c r="D61" s="142"/>
      <c r="E61" s="149"/>
      <c r="F61" s="142"/>
      <c r="G61" s="149"/>
      <c r="H61" s="143"/>
      <c r="I61" s="143"/>
      <c r="J61" s="143"/>
      <c r="K61" s="143"/>
      <c r="L61" s="144"/>
    </row>
    <row r="62" spans="1:15" s="70" customFormat="1" ht="12.75">
      <c r="A62" s="127" t="s">
        <v>323</v>
      </c>
      <c r="B62" s="128" t="s">
        <v>324</v>
      </c>
      <c r="C62" s="132" t="s">
        <v>174</v>
      </c>
      <c r="D62" s="130"/>
      <c r="E62" s="130"/>
      <c r="F62" s="132"/>
      <c r="G62" s="134"/>
      <c r="H62" s="132"/>
      <c r="I62" s="134"/>
      <c r="J62" s="130">
        <f>5+5</f>
        <v>10</v>
      </c>
      <c r="K62" s="130">
        <f>18.09+53.12+58.37+58.35+57.31+54.19+54.19+60.65+54.44+54.19</f>
        <v>522.8999999999999</v>
      </c>
      <c r="L62" s="131"/>
      <c r="O62" s="70">
        <v>277.66</v>
      </c>
    </row>
    <row r="63" spans="1:12" s="70" customFormat="1" ht="12.75">
      <c r="A63" s="127" t="s">
        <v>325</v>
      </c>
      <c r="B63" s="128" t="s">
        <v>326</v>
      </c>
      <c r="C63" s="132" t="s">
        <v>174</v>
      </c>
      <c r="D63" s="132">
        <v>0</v>
      </c>
      <c r="E63" s="134"/>
      <c r="F63" s="132"/>
      <c r="G63" s="134"/>
      <c r="H63" s="130"/>
      <c r="I63" s="130"/>
      <c r="J63" s="130"/>
      <c r="K63" s="130"/>
      <c r="L63" s="131"/>
    </row>
    <row r="64" spans="1:12" s="70" customFormat="1" ht="12.75">
      <c r="A64" s="127" t="s">
        <v>327</v>
      </c>
      <c r="B64" s="128" t="s">
        <v>328</v>
      </c>
      <c r="C64" s="132" t="s">
        <v>174</v>
      </c>
      <c r="D64" s="132">
        <v>0</v>
      </c>
      <c r="E64" s="134"/>
      <c r="F64" s="132"/>
      <c r="G64" s="134"/>
      <c r="H64" s="130"/>
      <c r="I64" s="130"/>
      <c r="J64" s="130"/>
      <c r="K64" s="130"/>
      <c r="L64" s="131"/>
    </row>
    <row r="65" spans="1:12" s="70" customFormat="1" ht="12.75" customHeight="1">
      <c r="A65" s="127" t="s">
        <v>329</v>
      </c>
      <c r="B65" s="128" t="s">
        <v>223</v>
      </c>
      <c r="C65" s="132" t="s">
        <v>174</v>
      </c>
      <c r="D65" s="132">
        <v>0</v>
      </c>
      <c r="E65" s="134"/>
      <c r="F65" s="132"/>
      <c r="G65" s="134"/>
      <c r="H65" s="130"/>
      <c r="I65" s="130"/>
      <c r="J65" s="130"/>
      <c r="K65" s="130"/>
      <c r="L65" s="131"/>
    </row>
    <row r="66" spans="1:12" s="145" customFormat="1" ht="37.5" customHeight="1">
      <c r="A66" s="139" t="s">
        <v>330</v>
      </c>
      <c r="B66" s="150" t="s">
        <v>331</v>
      </c>
      <c r="C66" s="141"/>
      <c r="D66" s="142"/>
      <c r="E66" s="149"/>
      <c r="F66" s="142"/>
      <c r="G66" s="149"/>
      <c r="H66" s="143"/>
      <c r="I66" s="143"/>
      <c r="J66" s="143"/>
      <c r="K66" s="143"/>
      <c r="L66" s="144"/>
    </row>
    <row r="67" spans="1:12" s="70" customFormat="1" ht="27.75" customHeight="1">
      <c r="A67" s="127" t="s">
        <v>332</v>
      </c>
      <c r="B67" s="135" t="s">
        <v>333</v>
      </c>
      <c r="C67" s="132" t="s">
        <v>161</v>
      </c>
      <c r="D67" s="132">
        <v>0</v>
      </c>
      <c r="E67" s="134"/>
      <c r="F67" s="132"/>
      <c r="G67" s="134"/>
      <c r="H67" s="130"/>
      <c r="I67" s="130"/>
      <c r="J67" s="130"/>
      <c r="K67" s="130"/>
      <c r="L67" s="131"/>
    </row>
    <row r="68" spans="1:12" s="70" customFormat="1" ht="27" customHeight="1">
      <c r="A68" s="127" t="s">
        <v>334</v>
      </c>
      <c r="B68" s="135" t="s">
        <v>335</v>
      </c>
      <c r="C68" s="132" t="s">
        <v>336</v>
      </c>
      <c r="D68" s="130"/>
      <c r="E68" s="130"/>
      <c r="F68" s="132"/>
      <c r="G68" s="134"/>
      <c r="H68" s="132"/>
      <c r="I68" s="134"/>
      <c r="J68" s="130"/>
      <c r="K68" s="130"/>
      <c r="L68" s="131"/>
    </row>
    <row r="69" spans="1:12" ht="15" customHeight="1">
      <c r="A69" s="137" t="s">
        <v>337</v>
      </c>
      <c r="B69" s="138" t="s">
        <v>338</v>
      </c>
      <c r="C69" s="132"/>
      <c r="D69" s="162"/>
      <c r="E69" s="134">
        <f>106.385+463.85-37.44-5.04-4.76-2.87-25.5</f>
        <v>494.6250000000001</v>
      </c>
      <c r="F69" s="162"/>
      <c r="G69" s="163">
        <f>106.31+86.36+66.56+97.35-0.876+98.94+72.37+127.99+95.012+165.226+79.53+66.84+59.83</f>
        <v>1121.442</v>
      </c>
      <c r="H69" s="164"/>
      <c r="I69" s="164">
        <v>161.14</v>
      </c>
      <c r="J69" s="164"/>
      <c r="K69" s="164">
        <f>211.852+59.702+5.793</f>
        <v>277.347</v>
      </c>
      <c r="L69" s="165"/>
    </row>
    <row r="70" spans="1:14" s="173" customFormat="1" ht="16.5" customHeight="1">
      <c r="A70" s="166"/>
      <c r="B70" s="167" t="s">
        <v>339</v>
      </c>
      <c r="C70" s="168"/>
      <c r="D70" s="169"/>
      <c r="E70" s="170">
        <f>SUM(E11:E69)</f>
        <v>2634.955565</v>
      </c>
      <c r="F70" s="169"/>
      <c r="G70" s="170">
        <f>SUM(G12:G68)+G69</f>
        <v>2637.038</v>
      </c>
      <c r="H70" s="171"/>
      <c r="I70" s="170">
        <f>SUM(I12:I69)</f>
        <v>325.74</v>
      </c>
      <c r="J70" s="170">
        <f>SUM(J12:J69)</f>
        <v>738.0600000000001</v>
      </c>
      <c r="K70" s="170">
        <f>SUM(K12:K69)</f>
        <v>1919.667</v>
      </c>
      <c r="L70" s="172"/>
      <c r="N70" s="174"/>
    </row>
    <row r="71" spans="2:15" ht="15.75" customHeight="1">
      <c r="B71" s="176" t="s">
        <v>27</v>
      </c>
      <c r="C71" s="177"/>
      <c r="D71" s="178"/>
      <c r="E71" s="179"/>
      <c r="F71" s="178"/>
      <c r="G71" s="178"/>
      <c r="H71" s="180"/>
      <c r="I71" s="243" t="s">
        <v>28</v>
      </c>
      <c r="J71" s="243"/>
      <c r="K71" s="26"/>
      <c r="N71" s="3">
        <f>SUM(N13:N69)</f>
        <v>78.75000000000001</v>
      </c>
      <c r="O71" s="3">
        <f>SUM(O13:O69)</f>
        <v>296.5</v>
      </c>
    </row>
    <row r="72" spans="1:11" ht="20.25" customHeight="1">
      <c r="A72" s="244" t="s">
        <v>340</v>
      </c>
      <c r="B72" s="245"/>
      <c r="C72" s="246"/>
      <c r="D72" s="246"/>
      <c r="E72" s="246"/>
      <c r="F72" s="246"/>
      <c r="G72" s="246"/>
      <c r="H72" s="246"/>
      <c r="I72" s="246"/>
      <c r="J72" s="246"/>
      <c r="K72" s="26"/>
    </row>
    <row r="73" spans="2:15" ht="22.5" customHeight="1">
      <c r="B73" s="70"/>
      <c r="C73" s="181"/>
      <c r="D73" s="181"/>
      <c r="E73" s="181"/>
      <c r="F73" s="181"/>
      <c r="G73" s="181"/>
      <c r="H73" s="26"/>
      <c r="J73" s="26"/>
      <c r="K73" s="26"/>
      <c r="N73" s="182">
        <f>138.58-78.75</f>
        <v>59.83000000000001</v>
      </c>
      <c r="O73" s="29"/>
    </row>
    <row r="74" spans="3:14" ht="13.5" customHeight="1">
      <c r="C74" s="181"/>
      <c r="D74" s="181"/>
      <c r="E74" s="181"/>
      <c r="F74" s="183"/>
      <c r="G74" s="184"/>
      <c r="H74" s="26"/>
      <c r="J74" s="28"/>
      <c r="K74" s="26"/>
      <c r="L74" s="3">
        <f>181.69-114.85</f>
        <v>66.84</v>
      </c>
      <c r="N74" s="29"/>
    </row>
    <row r="75" spans="2:14" ht="12.75">
      <c r="B75" s="70"/>
      <c r="C75" s="185"/>
      <c r="D75" s="181"/>
      <c r="E75" s="181"/>
      <c r="F75" s="181"/>
      <c r="G75" s="181"/>
      <c r="H75" s="247"/>
      <c r="I75" s="247"/>
      <c r="J75" s="28"/>
      <c r="K75" s="26"/>
      <c r="L75" s="29"/>
      <c r="N75" s="29"/>
    </row>
    <row r="76" spans="2:12" ht="12.75">
      <c r="B76" s="70"/>
      <c r="C76" s="181"/>
      <c r="D76" s="181"/>
      <c r="E76" s="184"/>
      <c r="F76" s="184"/>
      <c r="G76" s="184"/>
      <c r="H76" s="26"/>
      <c r="I76" s="28"/>
      <c r="J76" s="28"/>
      <c r="K76" s="26"/>
      <c r="L76" s="29">
        <f>'[1]нояб'!G70-G70</f>
        <v>-138.57999999999993</v>
      </c>
    </row>
    <row r="77" spans="2:12" ht="15">
      <c r="B77" s="70"/>
      <c r="C77" s="181"/>
      <c r="D77" s="181"/>
      <c r="E77" s="181"/>
      <c r="F77" s="186"/>
      <c r="G77" s="181"/>
      <c r="J77" s="28"/>
      <c r="K77" s="26"/>
      <c r="L77" s="29"/>
    </row>
    <row r="78" spans="2:12" ht="12.75">
      <c r="B78" s="70"/>
      <c r="C78" s="181"/>
      <c r="D78" s="181"/>
      <c r="E78" s="181"/>
      <c r="F78" s="181"/>
      <c r="G78" s="181"/>
      <c r="H78" s="26"/>
      <c r="J78" s="26"/>
      <c r="K78" s="26"/>
      <c r="L78" s="28"/>
    </row>
    <row r="79" spans="2:11" ht="12.75">
      <c r="B79" s="70"/>
      <c r="C79" s="181"/>
      <c r="D79" s="181"/>
      <c r="E79" s="181"/>
      <c r="F79" s="181"/>
      <c r="G79" s="181"/>
      <c r="H79" s="26"/>
      <c r="J79" s="187"/>
      <c r="K79" s="26"/>
    </row>
    <row r="80" spans="2:11" ht="12.75">
      <c r="B80" s="70"/>
      <c r="C80" s="181"/>
      <c r="D80" s="181"/>
      <c r="E80" s="184"/>
      <c r="F80" s="181"/>
      <c r="G80" s="181"/>
      <c r="H80" s="26"/>
      <c r="J80" s="26"/>
      <c r="K80" s="26"/>
    </row>
    <row r="81" ht="12.75">
      <c r="B81" s="70"/>
    </row>
    <row r="82" spans="2:12" ht="12.75">
      <c r="B82" s="70"/>
      <c r="L82" s="29"/>
    </row>
    <row r="83" ht="12.75">
      <c r="B83" s="70"/>
    </row>
    <row r="84" spans="2:5" ht="12.75">
      <c r="B84" s="70"/>
      <c r="E84" s="189"/>
    </row>
    <row r="85" ht="12.75">
      <c r="B85" s="70"/>
    </row>
    <row r="86" ht="12.75">
      <c r="B86" s="70"/>
    </row>
    <row r="87" ht="12.75">
      <c r="B87" s="70"/>
    </row>
  </sheetData>
  <sheetProtection/>
  <mergeCells count="23">
    <mergeCell ref="C37:C38"/>
    <mergeCell ref="L8:L10"/>
    <mergeCell ref="D9:E9"/>
    <mergeCell ref="F9:G9"/>
    <mergeCell ref="H9:I9"/>
    <mergeCell ref="J9:K9"/>
    <mergeCell ref="I71:J71"/>
    <mergeCell ref="A72:B72"/>
    <mergeCell ref="C72:J72"/>
    <mergeCell ref="H75:I75"/>
    <mergeCell ref="A5:K5"/>
    <mergeCell ref="A6:K6"/>
    <mergeCell ref="A8:A10"/>
    <mergeCell ref="B8:B10"/>
    <mergeCell ref="C8:C10"/>
    <mergeCell ref="D8:G8"/>
    <mergeCell ref="H8:K8"/>
    <mergeCell ref="A4:K4"/>
    <mergeCell ref="I1:K1"/>
    <mergeCell ref="A2:B2"/>
    <mergeCell ref="I2:K2"/>
    <mergeCell ref="A3:B3"/>
    <mergeCell ref="I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2013-01-25T06:23:05Z</dcterms:modified>
  <cp:category/>
  <cp:version/>
  <cp:contentType/>
  <cp:contentStatus/>
</cp:coreProperties>
</file>