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У 2013 год" sheetId="1" r:id="rId1"/>
  </sheets>
  <definedNames/>
  <calcPr fullCalcOnLoad="1"/>
</workbook>
</file>

<file path=xl/sharedStrings.xml><?xml version="1.0" encoding="utf-8"?>
<sst xmlns="http://schemas.openxmlformats.org/spreadsheetml/2006/main" count="1225" uniqueCount="134">
  <si>
    <t>ПОДОМОВЫЙ УЧЕТ СРЕДСТВ</t>
  </si>
  <si>
    <t xml:space="preserve"> собственников  и нанимателей многоквартирных домов,</t>
  </si>
  <si>
    <t>Статьи расхода по ставке содержание и ремонт жилищного фонда</t>
  </si>
  <si>
    <t>Санитарное содержание дома, всего</t>
  </si>
  <si>
    <t>Услуги управления (ИРЦ)</t>
  </si>
  <si>
    <t>Начислено</t>
  </si>
  <si>
    <t>Собрано</t>
  </si>
  <si>
    <t>№  п/п</t>
  </si>
  <si>
    <t>Название улиц</t>
  </si>
  <si>
    <t>n\n    домов</t>
  </si>
  <si>
    <t>Год  застройки</t>
  </si>
  <si>
    <t>К-во п-дов</t>
  </si>
  <si>
    <t>Кол-во этажей</t>
  </si>
  <si>
    <t>К-во лиф-в</t>
  </si>
  <si>
    <t>Кол-во квартир</t>
  </si>
  <si>
    <t>Кол-во эл.плит</t>
  </si>
  <si>
    <t>Уб.пл.    л/кл.</t>
  </si>
  <si>
    <t>Пл.тротуаров</t>
  </si>
  <si>
    <t>Пл.пр.замощений</t>
  </si>
  <si>
    <t>Пл.грунта</t>
  </si>
  <si>
    <t>пл.газона</t>
  </si>
  <si>
    <t>Ко-во м/пр-ов</t>
  </si>
  <si>
    <t>Мат-л стен</t>
  </si>
  <si>
    <t>Мат-л кровли</t>
  </si>
  <si>
    <t>Пл.кровли</t>
  </si>
  <si>
    <t>Ставка   Т/О (руб/кв.м)</t>
  </si>
  <si>
    <t>Запланированый доход (начислено по тарифу)</t>
  </si>
  <si>
    <t>% сбора</t>
  </si>
  <si>
    <t>Фактический результат по дому:  Собрано- израсходовано (с НДС)</t>
  </si>
  <si>
    <t>ВСЕГО фактический      расход              ( с НДС)</t>
  </si>
  <si>
    <t>Численность</t>
  </si>
  <si>
    <t>Отчисления на соц.нужды</t>
  </si>
  <si>
    <t>ИТОГО: З/плата + начисления</t>
  </si>
  <si>
    <t>Материалы МОП</t>
  </si>
  <si>
    <t>Заработная плата</t>
  </si>
  <si>
    <t>Начисления на з/плату</t>
  </si>
  <si>
    <t>Инструмент</t>
  </si>
  <si>
    <t>Численность АДС</t>
  </si>
  <si>
    <t>З/плата</t>
  </si>
  <si>
    <t xml:space="preserve">Начисления на з/плату </t>
  </si>
  <si>
    <t>Содержание транспорта</t>
  </si>
  <si>
    <t xml:space="preserve">Очистка вентканалов </t>
  </si>
  <si>
    <t>Очистка дымоходов</t>
  </si>
  <si>
    <t>Т/О внутридомовых газовых сетей и вводов</t>
  </si>
  <si>
    <t>Начисления на  з/плату</t>
  </si>
  <si>
    <t>Вид кап.ремонта</t>
  </si>
  <si>
    <t>Гор.бюджета</t>
  </si>
  <si>
    <t>Циолковского</t>
  </si>
  <si>
    <t>панель</t>
  </si>
  <si>
    <t>совмещ.</t>
  </si>
  <si>
    <t>1\22</t>
  </si>
  <si>
    <t>кирпич</t>
  </si>
  <si>
    <t>шифер</t>
  </si>
  <si>
    <t>шл.бл.</t>
  </si>
  <si>
    <t>металл</t>
  </si>
  <si>
    <t>7\11</t>
  </si>
  <si>
    <t>9\16</t>
  </si>
  <si>
    <t>10\6</t>
  </si>
  <si>
    <t>1984-89</t>
  </si>
  <si>
    <t>11А</t>
  </si>
  <si>
    <t>12\20</t>
  </si>
  <si>
    <t>13А</t>
  </si>
  <si>
    <t>13Б</t>
  </si>
  <si>
    <t>13В</t>
  </si>
  <si>
    <t>15А</t>
  </si>
  <si>
    <t>15Б</t>
  </si>
  <si>
    <t>17б</t>
  </si>
  <si>
    <t>18\9</t>
  </si>
  <si>
    <t>Бородинская</t>
  </si>
  <si>
    <t>17А</t>
  </si>
  <si>
    <t>Давыдова</t>
  </si>
  <si>
    <t>Дорохова</t>
  </si>
  <si>
    <t>Б.Серпуховская</t>
  </si>
  <si>
    <t>дерево</t>
  </si>
  <si>
    <t>Сосновая</t>
  </si>
  <si>
    <t>2, к.1</t>
  </si>
  <si>
    <t>2, к.2</t>
  </si>
  <si>
    <t>2, к.3</t>
  </si>
  <si>
    <t>8А</t>
  </si>
  <si>
    <t>1977-78</t>
  </si>
  <si>
    <t>10А</t>
  </si>
  <si>
    <t>10Б</t>
  </si>
  <si>
    <t>Курчатова</t>
  </si>
  <si>
    <t>11\12</t>
  </si>
  <si>
    <t>17\5</t>
  </si>
  <si>
    <t>61а</t>
  </si>
  <si>
    <t>61б</t>
  </si>
  <si>
    <t>Багратиона</t>
  </si>
  <si>
    <t>16А</t>
  </si>
  <si>
    <t>ИТОГО:</t>
  </si>
  <si>
    <t>Числ-сть АУП и вспом. персонала</t>
  </si>
  <si>
    <t>Лифты</t>
  </si>
  <si>
    <t xml:space="preserve">Общая пл-дь собст-ков и нан-лей помещений </t>
  </si>
  <si>
    <t>Тех.освидетельствование лифтов</t>
  </si>
  <si>
    <t>Измерение петли "фаза-ноль" на лифтах</t>
  </si>
  <si>
    <t>Очистка кровель от снега</t>
  </si>
  <si>
    <t>Подрядные работы по Т.Р.,     ВСЕГО</t>
  </si>
  <si>
    <t>в т.ч. устранение завалов д/х и в/к</t>
  </si>
  <si>
    <t>Кровля</t>
  </si>
  <si>
    <t>Амортизация</t>
  </si>
  <si>
    <t>ВСЕГО фактический расход по содержанию ж/ф ,без учета мусора ,     без НДС)</t>
  </si>
  <si>
    <t>в .ч. ремонт лифтов</t>
  </si>
  <si>
    <t xml:space="preserve">Дератизация </t>
  </si>
  <si>
    <t>Дезинсекция</t>
  </si>
  <si>
    <t>Страхование лифтов</t>
  </si>
  <si>
    <t>Техническое,аварийное и диспетчерское обслуживание лифтов</t>
  </si>
  <si>
    <t>Прочие                      (хим.оч. вода, ремонт обор-я)</t>
  </si>
  <si>
    <t>за   2013 год.</t>
  </si>
  <si>
    <t>Фактический доход (оплачено населением)</t>
  </si>
  <si>
    <t>Заботная плата,с учетом з/пл. из др. ист-ков</t>
  </si>
  <si>
    <t>Услуги сторонних организаций, всего</t>
  </si>
  <si>
    <t>в .ч.ремонт дверей</t>
  </si>
  <si>
    <t>Замер сопротивления изоляции</t>
  </si>
  <si>
    <t>Текущий ремонт,   всего</t>
  </si>
  <si>
    <t>находящихся в управлении МУЖРП № 9 г. Подольска за 2013 год.</t>
  </si>
  <si>
    <t>Сожержание АУП,             всего</t>
  </si>
  <si>
    <t>Прочие расходы АУП</t>
  </si>
  <si>
    <t>Материалы по факту (см. отчет по м-м за 2013г.)</t>
  </si>
  <si>
    <t>Прочие прямые расходы</t>
  </si>
  <si>
    <t>Налоги, относимые на себестоимость</t>
  </si>
  <si>
    <t>Начислено   за К.Р.</t>
  </si>
  <si>
    <t>Собрано       за К.Р.</t>
  </si>
  <si>
    <t>Капитальный ремонт</t>
  </si>
  <si>
    <t>ГВС</t>
  </si>
  <si>
    <t>Канализация</t>
  </si>
  <si>
    <t>Лифты-диагн.</t>
  </si>
  <si>
    <t>Внебюджетные средства</t>
  </si>
  <si>
    <t>Отмостка</t>
  </si>
  <si>
    <t>Вывоз ТБО и КГМ</t>
  </si>
  <si>
    <r>
      <t xml:space="preserve">Сумма затраченных средств   (население)           </t>
    </r>
    <r>
      <rPr>
        <b/>
        <sz val="8"/>
        <rFont val="Arial"/>
        <family val="2"/>
      </rPr>
      <t xml:space="preserve"> </t>
    </r>
  </si>
  <si>
    <r>
      <t xml:space="preserve">Начислено за вывоз ТБО и КГМ </t>
    </r>
    <r>
      <rPr>
        <b/>
        <i/>
        <sz val="7"/>
        <rFont val="Arial"/>
        <family val="2"/>
      </rPr>
      <t xml:space="preserve"> </t>
    </r>
  </si>
  <si>
    <r>
      <t xml:space="preserve">Оплачено за вывоз ТБО и КГМ </t>
    </r>
    <r>
      <rPr>
        <b/>
        <i/>
        <sz val="7"/>
        <rFont val="Arial"/>
        <family val="2"/>
      </rPr>
      <t xml:space="preserve"> </t>
    </r>
  </si>
  <si>
    <r>
      <t xml:space="preserve">Ставка    кап.ремонта </t>
    </r>
    <r>
      <rPr>
        <b/>
        <sz val="7"/>
        <rFont val="Arial"/>
        <family val="2"/>
      </rPr>
      <t>(руб. за кв.м. в м-ц до 01 июля 2013г.)</t>
    </r>
  </si>
  <si>
    <r>
      <t>Ставка найма</t>
    </r>
    <r>
      <rPr>
        <b/>
        <sz val="8"/>
        <rFont val="Arial"/>
        <family val="2"/>
      </rPr>
      <t xml:space="preserve"> (руб за кв.м. в м-ц)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</si>
</sst>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;[Red]\-#,##0.00"/>
    <numFmt numFmtId="167" formatCode="0.000"/>
    <numFmt numFmtId="168" formatCode="#,##0.000"/>
    <numFmt numFmtId="169" formatCode="#,##0.00&quot;р.&quot;"/>
    <numFmt numFmtId="170" formatCode="#,##0.0000"/>
    <numFmt numFmtId="171" formatCode="#,##0.00000"/>
  </numFmts>
  <fonts count="3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9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b/>
      <sz val="7.5"/>
      <name val="Arial"/>
      <family val="2"/>
    </font>
    <font>
      <b/>
      <sz val="6"/>
      <name val="Arial"/>
      <family val="2"/>
    </font>
    <font>
      <sz val="11"/>
      <name val="Arial"/>
      <family val="2"/>
    </font>
    <font>
      <b/>
      <i/>
      <sz val="8"/>
      <name val="Arial"/>
      <family val="2"/>
    </font>
    <font>
      <b/>
      <i/>
      <sz val="7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Border="1" applyAlignment="1">
      <alignment/>
    </xf>
    <xf numFmtId="4" fontId="24" fillId="0" borderId="10" xfId="0" applyNumberFormat="1" applyFont="1" applyBorder="1" applyAlignment="1">
      <alignment/>
    </xf>
    <xf numFmtId="0" fontId="21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right"/>
    </xf>
    <xf numFmtId="4" fontId="18" fillId="0" borderId="10" xfId="0" applyNumberFormat="1" applyFont="1" applyBorder="1" applyAlignment="1">
      <alignment/>
    </xf>
    <xf numFmtId="166" fontId="21" fillId="0" borderId="10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right"/>
    </xf>
    <xf numFmtId="0" fontId="24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4" fontId="18" fillId="2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18" fillId="0" borderId="0" xfId="0" applyFont="1" applyAlignment="1">
      <alignment/>
    </xf>
    <xf numFmtId="4" fontId="21" fillId="25" borderId="12" xfId="0" applyNumberFormat="1" applyFont="1" applyFill="1" applyBorder="1" applyAlignment="1">
      <alignment/>
    </xf>
    <xf numFmtId="4" fontId="26" fillId="25" borderId="12" xfId="0" applyNumberFormat="1" applyFont="1" applyFill="1" applyBorder="1" applyAlignment="1">
      <alignment/>
    </xf>
    <xf numFmtId="4" fontId="24" fillId="25" borderId="12" xfId="0" applyNumberFormat="1" applyFont="1" applyFill="1" applyBorder="1" applyAlignment="1">
      <alignment/>
    </xf>
    <xf numFmtId="0" fontId="24" fillId="25" borderId="12" xfId="0" applyFont="1" applyFill="1" applyBorder="1" applyAlignment="1">
      <alignment/>
    </xf>
    <xf numFmtId="0" fontId="21" fillId="24" borderId="10" xfId="0" applyFont="1" applyFill="1" applyBorder="1" applyAlignment="1">
      <alignment/>
    </xf>
    <xf numFmtId="0" fontId="23" fillId="24" borderId="10" xfId="0" applyFont="1" applyFill="1" applyBorder="1" applyAlignment="1">
      <alignment/>
    </xf>
    <xf numFmtId="0" fontId="21" fillId="24" borderId="10" xfId="0" applyFont="1" applyFill="1" applyBorder="1" applyAlignment="1">
      <alignment horizontal="right"/>
    </xf>
    <xf numFmtId="4" fontId="21" fillId="24" borderId="10" xfId="0" applyNumberFormat="1" applyFont="1" applyFill="1" applyBorder="1" applyAlignment="1">
      <alignment/>
    </xf>
    <xf numFmtId="4" fontId="24" fillId="24" borderId="10" xfId="0" applyNumberFormat="1" applyFont="1" applyFill="1" applyBorder="1" applyAlignment="1">
      <alignment/>
    </xf>
    <xf numFmtId="166" fontId="21" fillId="24" borderId="10" xfId="0" applyNumberFormat="1" applyFont="1" applyFill="1" applyBorder="1" applyAlignment="1">
      <alignment/>
    </xf>
    <xf numFmtId="0" fontId="24" fillId="24" borderId="10" xfId="0" applyFont="1" applyFill="1" applyBorder="1" applyAlignment="1">
      <alignment/>
    </xf>
    <xf numFmtId="0" fontId="18" fillId="24" borderId="0" xfId="0" applyFont="1" applyFill="1" applyAlignment="1">
      <alignment/>
    </xf>
    <xf numFmtId="1" fontId="21" fillId="24" borderId="10" xfId="0" applyNumberFormat="1" applyFont="1" applyFill="1" applyBorder="1" applyAlignment="1">
      <alignment horizontal="center"/>
    </xf>
    <xf numFmtId="1" fontId="21" fillId="24" borderId="10" xfId="0" applyNumberFormat="1" applyFont="1" applyFill="1" applyBorder="1" applyAlignment="1">
      <alignment/>
    </xf>
    <xf numFmtId="2" fontId="21" fillId="24" borderId="10" xfId="0" applyNumberFormat="1" applyFont="1" applyFill="1" applyBorder="1" applyAlignment="1">
      <alignment/>
    </xf>
    <xf numFmtId="164" fontId="21" fillId="24" borderId="10" xfId="0" applyNumberFormat="1" applyFont="1" applyFill="1" applyBorder="1" applyAlignment="1">
      <alignment/>
    </xf>
    <xf numFmtId="165" fontId="21" fillId="24" borderId="10" xfId="0" applyNumberFormat="1" applyFont="1" applyFill="1" applyBorder="1" applyAlignment="1">
      <alignment/>
    </xf>
    <xf numFmtId="1" fontId="24" fillId="24" borderId="10" xfId="0" applyNumberFormat="1" applyFont="1" applyFill="1" applyBorder="1" applyAlignment="1">
      <alignment horizontal="right"/>
    </xf>
    <xf numFmtId="4" fontId="21" fillId="24" borderId="13" xfId="0" applyNumberFormat="1" applyFont="1" applyFill="1" applyBorder="1" applyAlignment="1">
      <alignment/>
    </xf>
    <xf numFmtId="1" fontId="21" fillId="0" borderId="10" xfId="0" applyNumberFormat="1" applyFont="1" applyBorder="1" applyAlignment="1">
      <alignment horizontal="center"/>
    </xf>
    <xf numFmtId="1" fontId="21" fillId="0" borderId="10" xfId="0" applyNumberFormat="1" applyFont="1" applyBorder="1" applyAlignment="1">
      <alignment/>
    </xf>
    <xf numFmtId="2" fontId="21" fillId="0" borderId="10" xfId="0" applyNumberFormat="1" applyFont="1" applyBorder="1" applyAlignment="1">
      <alignment/>
    </xf>
    <xf numFmtId="164" fontId="21" fillId="0" borderId="10" xfId="0" applyNumberFormat="1" applyFont="1" applyBorder="1" applyAlignment="1">
      <alignment/>
    </xf>
    <xf numFmtId="165" fontId="21" fillId="0" borderId="10" xfId="0" applyNumberFormat="1" applyFont="1" applyBorder="1" applyAlignment="1">
      <alignment/>
    </xf>
    <xf numFmtId="1" fontId="24" fillId="0" borderId="10" xfId="0" applyNumberFormat="1" applyFont="1" applyBorder="1" applyAlignment="1">
      <alignment horizontal="right"/>
    </xf>
    <xf numFmtId="4" fontId="21" fillId="0" borderId="13" xfId="0" applyNumberFormat="1" applyFont="1" applyBorder="1" applyAlignment="1">
      <alignment/>
    </xf>
    <xf numFmtId="4" fontId="21" fillId="0" borderId="10" xfId="0" applyNumberFormat="1" applyFont="1" applyFill="1" applyBorder="1" applyAlignment="1">
      <alignment/>
    </xf>
    <xf numFmtId="1" fontId="22" fillId="0" borderId="10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/>
    </xf>
    <xf numFmtId="165" fontId="24" fillId="0" borderId="10" xfId="0" applyNumberFormat="1" applyFont="1" applyBorder="1" applyAlignment="1">
      <alignment/>
    </xf>
    <xf numFmtId="4" fontId="24" fillId="0" borderId="13" xfId="0" applyNumberFormat="1" applyFont="1" applyBorder="1" applyAlignment="1">
      <alignment/>
    </xf>
    <xf numFmtId="166" fontId="24" fillId="0" borderId="10" xfId="0" applyNumberFormat="1" applyFont="1" applyBorder="1" applyAlignment="1">
      <alignment/>
    </xf>
    <xf numFmtId="4" fontId="24" fillId="25" borderId="14" xfId="0" applyNumberFormat="1" applyFont="1" applyFill="1" applyBorder="1" applyAlignment="1">
      <alignment/>
    </xf>
    <xf numFmtId="166" fontId="24" fillId="25" borderId="12" xfId="0" applyNumberFormat="1" applyFont="1" applyFill="1" applyBorder="1" applyAlignment="1">
      <alignment/>
    </xf>
    <xf numFmtId="166" fontId="24" fillId="25" borderId="14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64" fontId="24" fillId="25" borderId="12" xfId="0" applyNumberFormat="1" applyFont="1" applyFill="1" applyBorder="1" applyAlignment="1">
      <alignment/>
    </xf>
    <xf numFmtId="0" fontId="28" fillId="0" borderId="0" xfId="0" applyFont="1" applyBorder="1" applyAlignment="1">
      <alignment horizontal="right"/>
    </xf>
    <xf numFmtId="0" fontId="24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4" fontId="18" fillId="24" borderId="13" xfId="0" applyNumberFormat="1" applyFont="1" applyFill="1" applyBorder="1" applyAlignment="1">
      <alignment/>
    </xf>
    <xf numFmtId="4" fontId="18" fillId="0" borderId="13" xfId="0" applyNumberFormat="1" applyFont="1" applyBorder="1" applyAlignment="1">
      <alignment/>
    </xf>
    <xf numFmtId="0" fontId="22" fillId="0" borderId="17" xfId="0" applyFont="1" applyBorder="1" applyAlignment="1">
      <alignment horizontal="center" vertical="center" wrapText="1"/>
    </xf>
    <xf numFmtId="166" fontId="21" fillId="24" borderId="18" xfId="0" applyNumberFormat="1" applyFont="1" applyFill="1" applyBorder="1" applyAlignment="1">
      <alignment/>
    </xf>
    <xf numFmtId="166" fontId="21" fillId="0" borderId="18" xfId="0" applyNumberFormat="1" applyFont="1" applyBorder="1" applyAlignment="1">
      <alignment/>
    </xf>
    <xf numFmtId="166" fontId="24" fillId="0" borderId="18" xfId="0" applyNumberFormat="1" applyFont="1" applyBorder="1" applyAlignment="1">
      <alignment/>
    </xf>
    <xf numFmtId="0" fontId="21" fillId="0" borderId="19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/>
    </xf>
    <xf numFmtId="1" fontId="24" fillId="24" borderId="13" xfId="0" applyNumberFormat="1" applyFont="1" applyFill="1" applyBorder="1" applyAlignment="1">
      <alignment/>
    </xf>
    <xf numFmtId="4" fontId="24" fillId="24" borderId="13" xfId="0" applyNumberFormat="1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/>
    </xf>
    <xf numFmtId="4" fontId="31" fillId="24" borderId="13" xfId="0" applyNumberFormat="1" applyFont="1" applyFill="1" applyBorder="1" applyAlignment="1">
      <alignment/>
    </xf>
    <xf numFmtId="4" fontId="21" fillId="26" borderId="10" xfId="0" applyNumberFormat="1" applyFont="1" applyFill="1" applyBorder="1" applyAlignment="1">
      <alignment/>
    </xf>
    <xf numFmtId="4" fontId="21" fillId="24" borderId="13" xfId="0" applyNumberFormat="1" applyFont="1" applyFill="1" applyBorder="1" applyAlignment="1">
      <alignment horizontal="center"/>
    </xf>
    <xf numFmtId="2" fontId="31" fillId="24" borderId="10" xfId="0" applyNumberFormat="1" applyFont="1" applyFill="1" applyBorder="1" applyAlignment="1">
      <alignment/>
    </xf>
    <xf numFmtId="4" fontId="21" fillId="24" borderId="10" xfId="0" applyNumberFormat="1" applyFont="1" applyFill="1" applyBorder="1" applyAlignment="1">
      <alignment/>
    </xf>
    <xf numFmtId="4" fontId="18" fillId="24" borderId="10" xfId="0" applyNumberFormat="1" applyFont="1" applyFill="1" applyBorder="1" applyAlignment="1">
      <alignment/>
    </xf>
    <xf numFmtId="4" fontId="18" fillId="24" borderId="13" xfId="0" applyNumberFormat="1" applyFont="1" applyFill="1" applyBorder="1" applyAlignment="1">
      <alignment/>
    </xf>
    <xf numFmtId="4" fontId="31" fillId="24" borderId="23" xfId="0" applyNumberFormat="1" applyFont="1" applyFill="1" applyBorder="1" applyAlignment="1">
      <alignment/>
    </xf>
    <xf numFmtId="4" fontId="31" fillId="24" borderId="13" xfId="0" applyNumberFormat="1" applyFont="1" applyFill="1" applyBorder="1" applyAlignment="1">
      <alignment/>
    </xf>
    <xf numFmtId="4" fontId="31" fillId="24" borderId="0" xfId="0" applyNumberFormat="1" applyFont="1" applyFill="1" applyBorder="1" applyAlignment="1">
      <alignment/>
    </xf>
    <xf numFmtId="4" fontId="21" fillId="24" borderId="23" xfId="0" applyNumberFormat="1" applyFont="1" applyFill="1" applyBorder="1" applyAlignment="1">
      <alignment/>
    </xf>
    <xf numFmtId="4" fontId="23" fillId="24" borderId="10" xfId="0" applyNumberFormat="1" applyFont="1" applyFill="1" applyBorder="1" applyAlignment="1">
      <alignment/>
    </xf>
    <xf numFmtId="4" fontId="21" fillId="24" borderId="13" xfId="0" applyNumberFormat="1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1" fontId="24" fillId="0" borderId="13" xfId="0" applyNumberFormat="1" applyFont="1" applyBorder="1" applyAlignment="1">
      <alignment/>
    </xf>
    <xf numFmtId="4" fontId="31" fillId="0" borderId="10" xfId="0" applyNumberFormat="1" applyFont="1" applyBorder="1" applyAlignment="1">
      <alignment/>
    </xf>
    <xf numFmtId="2" fontId="31" fillId="0" borderId="10" xfId="0" applyNumberFormat="1" applyFont="1" applyBorder="1" applyAlignment="1">
      <alignment/>
    </xf>
    <xf numFmtId="4" fontId="31" fillId="0" borderId="23" xfId="0" applyNumberFormat="1" applyFont="1" applyBorder="1" applyAlignment="1">
      <alignment/>
    </xf>
    <xf numFmtId="4" fontId="31" fillId="0" borderId="13" xfId="0" applyNumberFormat="1" applyFont="1" applyBorder="1" applyAlignment="1">
      <alignment/>
    </xf>
    <xf numFmtId="4" fontId="31" fillId="0" borderId="0" xfId="0" applyNumberFormat="1" applyFont="1" applyBorder="1" applyAlignment="1">
      <alignment/>
    </xf>
    <xf numFmtId="4" fontId="21" fillId="0" borderId="23" xfId="0" applyNumberFormat="1" applyFont="1" applyBorder="1" applyAlignment="1">
      <alignment/>
    </xf>
    <xf numFmtId="4" fontId="21" fillId="0" borderId="10" xfId="0" applyNumberFormat="1" applyFont="1" applyBorder="1" applyAlignment="1">
      <alignment/>
    </xf>
    <xf numFmtId="4" fontId="21" fillId="0" borderId="10" xfId="0" applyNumberFormat="1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4" fontId="21" fillId="0" borderId="13" xfId="0" applyNumberFormat="1" applyFont="1" applyFill="1" applyBorder="1" applyAlignment="1">
      <alignment horizontal="right"/>
    </xf>
    <xf numFmtId="2" fontId="21" fillId="0" borderId="10" xfId="0" applyNumberFormat="1" applyFont="1" applyBorder="1" applyAlignment="1">
      <alignment/>
    </xf>
    <xf numFmtId="4" fontId="21" fillId="24" borderId="13" xfId="0" applyNumberFormat="1" applyFont="1" applyFill="1" applyBorder="1" applyAlignment="1">
      <alignment/>
    </xf>
    <xf numFmtId="4" fontId="29" fillId="0" borderId="23" xfId="0" applyNumberFormat="1" applyFont="1" applyBorder="1" applyAlignment="1">
      <alignment/>
    </xf>
    <xf numFmtId="4" fontId="33" fillId="26" borderId="10" xfId="0" applyNumberFormat="1" applyFont="1" applyFill="1" applyBorder="1" applyAlignment="1">
      <alignment/>
    </xf>
    <xf numFmtId="4" fontId="24" fillId="0" borderId="13" xfId="0" applyNumberFormat="1" applyFont="1" applyFill="1" applyBorder="1" applyAlignment="1">
      <alignment horizontal="right"/>
    </xf>
    <xf numFmtId="4" fontId="23" fillId="26" borderId="10" xfId="0" applyNumberFormat="1" applyFont="1" applyFill="1" applyBorder="1" applyAlignment="1">
      <alignment/>
    </xf>
    <xf numFmtId="4" fontId="23" fillId="26" borderId="13" xfId="0" applyNumberFormat="1" applyFont="1" applyFill="1" applyBorder="1" applyAlignment="1">
      <alignment horizontal="right"/>
    </xf>
    <xf numFmtId="4" fontId="21" fillId="0" borderId="13" xfId="0" applyNumberFormat="1" applyFont="1" applyBorder="1" applyAlignment="1">
      <alignment/>
    </xf>
    <xf numFmtId="0" fontId="23" fillId="25" borderId="24" xfId="0" applyFont="1" applyFill="1" applyBorder="1" applyAlignment="1">
      <alignment/>
    </xf>
    <xf numFmtId="0" fontId="23" fillId="25" borderId="12" xfId="0" applyFont="1" applyFill="1" applyBorder="1" applyAlignment="1">
      <alignment/>
    </xf>
    <xf numFmtId="0" fontId="23" fillId="25" borderId="12" xfId="0" applyFont="1" applyFill="1" applyBorder="1" applyAlignment="1">
      <alignment horizontal="right"/>
    </xf>
    <xf numFmtId="1" fontId="21" fillId="25" borderId="12" xfId="0" applyNumberFormat="1" applyFont="1" applyFill="1" applyBorder="1" applyAlignment="1">
      <alignment horizontal="center"/>
    </xf>
    <xf numFmtId="165" fontId="18" fillId="25" borderId="12" xfId="0" applyNumberFormat="1" applyFont="1" applyFill="1" applyBorder="1" applyAlignment="1">
      <alignment/>
    </xf>
    <xf numFmtId="1" fontId="21" fillId="25" borderId="12" xfId="0" applyNumberFormat="1" applyFont="1" applyFill="1" applyBorder="1" applyAlignment="1">
      <alignment/>
    </xf>
    <xf numFmtId="1" fontId="26" fillId="25" borderId="12" xfId="0" applyNumberFormat="1" applyFont="1" applyFill="1" applyBorder="1" applyAlignment="1">
      <alignment/>
    </xf>
    <xf numFmtId="4" fontId="22" fillId="25" borderId="12" xfId="0" applyNumberFormat="1" applyFont="1" applyFill="1" applyBorder="1" applyAlignment="1">
      <alignment/>
    </xf>
    <xf numFmtId="164" fontId="26" fillId="25" borderId="12" xfId="0" applyNumberFormat="1" applyFont="1" applyFill="1" applyBorder="1" applyAlignment="1">
      <alignment/>
    </xf>
    <xf numFmtId="164" fontId="21" fillId="25" borderId="12" xfId="0" applyNumberFormat="1" applyFont="1" applyFill="1" applyBorder="1" applyAlignment="1">
      <alignment/>
    </xf>
    <xf numFmtId="164" fontId="22" fillId="25" borderId="12" xfId="0" applyNumberFormat="1" applyFont="1" applyFill="1" applyBorder="1" applyAlignment="1">
      <alignment/>
    </xf>
    <xf numFmtId="3" fontId="21" fillId="25" borderId="12" xfId="0" applyNumberFormat="1" applyFont="1" applyFill="1" applyBorder="1" applyAlignment="1">
      <alignment/>
    </xf>
    <xf numFmtId="3" fontId="24" fillId="25" borderId="14" xfId="0" applyNumberFormat="1" applyFont="1" applyFill="1" applyBorder="1" applyAlignment="1">
      <alignment/>
    </xf>
    <xf numFmtId="3" fontId="24" fillId="25" borderId="12" xfId="0" applyNumberFormat="1" applyFont="1" applyFill="1" applyBorder="1" applyAlignment="1">
      <alignment horizontal="right"/>
    </xf>
    <xf numFmtId="4" fontId="24" fillId="25" borderId="14" xfId="0" applyNumberFormat="1" applyFont="1" applyFill="1" applyBorder="1" applyAlignment="1">
      <alignment horizontal="center"/>
    </xf>
    <xf numFmtId="4" fontId="31" fillId="25" borderId="12" xfId="0" applyNumberFormat="1" applyFont="1" applyFill="1" applyBorder="1" applyAlignment="1">
      <alignment/>
    </xf>
    <xf numFmtId="4" fontId="31" fillId="25" borderId="14" xfId="0" applyNumberFormat="1" applyFont="1" applyFill="1" applyBorder="1" applyAlignment="1">
      <alignment/>
    </xf>
    <xf numFmtId="4" fontId="24" fillId="25" borderId="12" xfId="0" applyNumberFormat="1" applyFont="1" applyFill="1" applyBorder="1" applyAlignment="1">
      <alignment/>
    </xf>
    <xf numFmtId="3" fontId="24" fillId="25" borderId="12" xfId="0" applyNumberFormat="1" applyFont="1" applyFill="1" applyBorder="1" applyAlignment="1">
      <alignment/>
    </xf>
    <xf numFmtId="4" fontId="29" fillId="25" borderId="12" xfId="0" applyNumberFormat="1" applyFont="1" applyFill="1" applyBorder="1" applyAlignment="1">
      <alignment/>
    </xf>
    <xf numFmtId="4" fontId="24" fillId="25" borderId="14" xfId="0" applyNumberFormat="1" applyFont="1" applyFill="1" applyBorder="1" applyAlignment="1">
      <alignment/>
    </xf>
    <xf numFmtId="4" fontId="29" fillId="25" borderId="25" xfId="0" applyNumberFormat="1" applyFont="1" applyFill="1" applyBorder="1" applyAlignment="1">
      <alignment/>
    </xf>
    <xf numFmtId="4" fontId="29" fillId="25" borderId="14" xfId="0" applyNumberFormat="1" applyFont="1" applyFill="1" applyBorder="1" applyAlignment="1">
      <alignment/>
    </xf>
    <xf numFmtId="4" fontId="29" fillId="25" borderId="0" xfId="0" applyNumberFormat="1" applyFont="1" applyFill="1" applyBorder="1" applyAlignment="1">
      <alignment/>
    </xf>
    <xf numFmtId="4" fontId="21" fillId="25" borderId="25" xfId="0" applyNumberFormat="1" applyFont="1" applyFill="1" applyBorder="1" applyAlignment="1">
      <alignment/>
    </xf>
    <xf numFmtId="4" fontId="26" fillId="25" borderId="12" xfId="0" applyNumberFormat="1" applyFont="1" applyFill="1" applyBorder="1" applyAlignment="1">
      <alignment/>
    </xf>
    <xf numFmtId="4" fontId="21" fillId="25" borderId="12" xfId="0" applyNumberFormat="1" applyFont="1" applyFill="1" applyBorder="1" applyAlignment="1">
      <alignment/>
    </xf>
    <xf numFmtId="4" fontId="21" fillId="25" borderId="14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68"/>
  <sheetViews>
    <sheetView tabSelected="1" zoomScalePageLayoutView="0" workbookViewId="0" topLeftCell="BO1">
      <selection activeCell="BR2" sqref="BR2"/>
    </sheetView>
  </sheetViews>
  <sheetFormatPr defaultColWidth="9.140625" defaultRowHeight="12.75"/>
  <cols>
    <col min="1" max="1" width="3.00390625" style="0" customWidth="1"/>
    <col min="2" max="2" width="12.57421875" style="0" customWidth="1"/>
    <col min="3" max="3" width="4.8515625" style="0" customWidth="1"/>
    <col min="4" max="4" width="10.00390625" style="0" customWidth="1"/>
    <col min="5" max="5" width="5.7109375" style="0" customWidth="1"/>
    <col min="6" max="6" width="3.28125" style="0" customWidth="1"/>
    <col min="7" max="7" width="3.8515625" style="0" customWidth="1"/>
    <col min="8" max="8" width="3.57421875" style="0" customWidth="1"/>
    <col min="9" max="9" width="5.00390625" style="0" customWidth="1"/>
    <col min="10" max="10" width="4.28125" style="0" customWidth="1"/>
    <col min="11" max="11" width="7.28125" style="0" customWidth="1"/>
    <col min="12" max="12" width="6.7109375" style="0" customWidth="1"/>
    <col min="13" max="13" width="7.00390625" style="0" customWidth="1"/>
    <col min="14" max="14" width="6.57421875" style="0" customWidth="1"/>
    <col min="15" max="15" width="7.00390625" style="0" customWidth="1"/>
    <col min="16" max="16" width="3.57421875" style="0" customWidth="1"/>
    <col min="18" max="18" width="3.00390625" style="0" customWidth="1"/>
    <col min="19" max="19" width="12.57421875" style="0" customWidth="1"/>
    <col min="20" max="20" width="4.8515625" style="0" customWidth="1"/>
    <col min="21" max="21" width="8.28125" style="0" customWidth="1"/>
    <col min="22" max="22" width="8.140625" style="0" customWidth="1"/>
    <col min="23" max="23" width="5.421875" style="0" customWidth="1"/>
    <col min="24" max="24" width="11.421875" style="0" customWidth="1"/>
    <col min="25" max="25" width="11.00390625" style="0" customWidth="1"/>
    <col min="26" max="26" width="6.8515625" style="0" customWidth="1"/>
    <col min="27" max="27" width="9.8515625" style="0" customWidth="1"/>
    <col min="28" max="28" width="10.57421875" style="0" customWidth="1"/>
    <col min="29" max="29" width="11.140625" style="0" customWidth="1"/>
    <col min="30" max="30" width="3.00390625" style="0" customWidth="1"/>
    <col min="31" max="31" width="12.57421875" style="0" customWidth="1"/>
    <col min="32" max="32" width="4.8515625" style="0" customWidth="1"/>
    <col min="33" max="33" width="15.8515625" style="0" customWidth="1"/>
    <col min="35" max="35" width="13.28125" style="0" customWidth="1"/>
    <col min="36" max="36" width="14.421875" style="0" customWidth="1"/>
    <col min="37" max="37" width="14.8515625" style="0" customWidth="1"/>
    <col min="38" max="38" width="13.57421875" style="0" customWidth="1"/>
    <col min="39" max="39" width="3.00390625" style="0" customWidth="1"/>
    <col min="40" max="40" width="12.57421875" style="0" customWidth="1"/>
    <col min="41" max="41" width="4.8515625" style="0" customWidth="1"/>
    <col min="42" max="42" width="10.8515625" style="0" customWidth="1"/>
    <col min="44" max="44" width="13.28125" style="0" customWidth="1"/>
    <col min="45" max="45" width="12.57421875" style="0" customWidth="1"/>
    <col min="46" max="46" width="18.28125" style="0" customWidth="1"/>
    <col min="47" max="47" width="17.421875" style="0" customWidth="1"/>
    <col min="48" max="48" width="3.00390625" style="0" customWidth="1"/>
    <col min="49" max="49" width="12.57421875" style="0" customWidth="1"/>
    <col min="50" max="50" width="5.00390625" style="0" customWidth="1"/>
    <col min="51" max="51" width="14.00390625" style="0" customWidth="1"/>
    <col min="52" max="52" width="11.7109375" style="0" customWidth="1"/>
    <col min="53" max="53" width="10.00390625" style="0" customWidth="1"/>
    <col min="56" max="56" width="10.28125" style="0" customWidth="1"/>
    <col min="59" max="59" width="3.00390625" style="0" customWidth="1"/>
    <col min="60" max="60" width="12.57421875" style="0" customWidth="1"/>
    <col min="61" max="61" width="4.8515625" style="0" customWidth="1"/>
    <col min="62" max="62" width="13.00390625" style="0" customWidth="1"/>
    <col min="64" max="64" width="11.421875" style="0" customWidth="1"/>
    <col min="65" max="65" width="13.28125" style="0" customWidth="1"/>
    <col min="66" max="66" width="11.57421875" style="0" customWidth="1"/>
    <col min="67" max="67" width="11.00390625" style="0" customWidth="1"/>
    <col min="68" max="68" width="11.8515625" style="0" customWidth="1"/>
    <col min="69" max="69" width="4.28125" style="0" customWidth="1"/>
    <col min="70" max="70" width="14.00390625" style="0" customWidth="1"/>
    <col min="71" max="71" width="6.140625" style="0" customWidth="1"/>
    <col min="72" max="72" width="12.57421875" style="0" customWidth="1"/>
    <col min="73" max="73" width="12.00390625" style="0" customWidth="1"/>
    <col min="74" max="74" width="13.140625" style="0" customWidth="1"/>
    <col min="75" max="75" width="14.00390625" style="0" customWidth="1"/>
    <col min="76" max="76" width="13.00390625" style="0" customWidth="1"/>
    <col min="77" max="77" width="11.8515625" style="0" customWidth="1"/>
    <col min="78" max="78" width="3.00390625" style="0" customWidth="1"/>
    <col min="79" max="79" width="12.57421875" style="0" customWidth="1"/>
    <col min="80" max="80" width="4.57421875" style="0" customWidth="1"/>
    <col min="81" max="81" width="10.8515625" style="0" customWidth="1"/>
    <col min="82" max="82" width="6.00390625" style="0" customWidth="1"/>
    <col min="83" max="84" width="10.140625" style="0" customWidth="1"/>
    <col min="85" max="86" width="10.00390625" style="0" customWidth="1"/>
    <col min="88" max="88" width="9.8515625" style="0" customWidth="1"/>
    <col min="89" max="89" width="7.57421875" style="0" customWidth="1"/>
    <col min="90" max="90" width="9.57421875" style="0" customWidth="1"/>
    <col min="91" max="91" width="17.7109375" style="0" customWidth="1"/>
    <col min="92" max="92" width="9.57421875" style="0" customWidth="1"/>
    <col min="93" max="93" width="17.7109375" style="0" customWidth="1"/>
    <col min="94" max="94" width="18.140625" style="0" customWidth="1"/>
    <col min="95" max="95" width="30.28125" style="0" customWidth="1"/>
    <col min="96" max="96" width="4.00390625" style="0" customWidth="1"/>
    <col min="97" max="97" width="13.7109375" style="0" customWidth="1"/>
    <col min="98" max="98" width="5.7109375" style="0" customWidth="1"/>
    <col min="99" max="99" width="10.57421875" style="0" customWidth="1"/>
    <col min="100" max="100" width="10.7109375" style="0" customWidth="1"/>
    <col min="101" max="101" width="10.57421875" style="0" customWidth="1"/>
    <col min="102" max="102" width="11.7109375" style="0" customWidth="1"/>
    <col min="103" max="103" width="11.00390625" style="0" customWidth="1"/>
    <col min="104" max="104" width="11.421875" style="0" customWidth="1"/>
    <col min="105" max="105" width="12.8515625" style="0" customWidth="1"/>
    <col min="106" max="106" width="5.00390625" style="0" customWidth="1"/>
    <col min="107" max="107" width="14.00390625" style="0" customWidth="1"/>
    <col min="108" max="108" width="6.8515625" style="0" customWidth="1"/>
    <col min="109" max="109" width="13.140625" style="0" customWidth="1"/>
    <col min="110" max="110" width="11.57421875" style="0" customWidth="1"/>
    <col min="111" max="111" width="10.421875" style="0" customWidth="1"/>
  </cols>
  <sheetData>
    <row r="1" spans="1:62" ht="12" customHeight="1">
      <c r="A1" s="170" t="s">
        <v>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52"/>
      <c r="S1" s="52"/>
      <c r="T1" s="5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54"/>
      <c r="BH1" s="54"/>
      <c r="BI1" s="54"/>
      <c r="BJ1" s="54"/>
    </row>
    <row r="2" spans="1:99" ht="11.25" customHeight="1">
      <c r="A2" s="171" t="s">
        <v>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52"/>
      <c r="S2" s="52"/>
      <c r="T2" s="52"/>
      <c r="AG2" s="16" t="s">
        <v>2</v>
      </c>
      <c r="AP2" s="16" t="s">
        <v>2</v>
      </c>
      <c r="AQ2" s="54"/>
      <c r="AR2" s="54"/>
      <c r="AS2" s="54"/>
      <c r="AT2" s="54"/>
      <c r="AU2" s="54"/>
      <c r="AV2" s="54"/>
      <c r="AW2" s="54"/>
      <c r="AX2" s="54"/>
      <c r="AY2" s="16" t="s">
        <v>2</v>
      </c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16" t="s">
        <v>2</v>
      </c>
      <c r="BT2" s="16" t="s">
        <v>2</v>
      </c>
      <c r="CC2" s="16" t="s">
        <v>2</v>
      </c>
      <c r="CN2" s="16" t="s">
        <v>128</v>
      </c>
      <c r="CU2" s="16" t="s">
        <v>122</v>
      </c>
    </row>
    <row r="3" spans="1:115" ht="14.25" customHeight="1" thickBot="1">
      <c r="A3" s="171" t="s">
        <v>114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52"/>
      <c r="S3" s="52"/>
      <c r="T3" s="52"/>
      <c r="AC3">
        <v>2</v>
      </c>
      <c r="AL3">
        <v>3</v>
      </c>
      <c r="AP3" s="54"/>
      <c r="AQ3" s="54"/>
      <c r="AR3" s="54"/>
      <c r="AS3" s="54"/>
      <c r="AT3" s="54"/>
      <c r="AU3" s="56">
        <v>4</v>
      </c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6">
        <v>5</v>
      </c>
      <c r="BG3" s="54"/>
      <c r="BH3" s="54"/>
      <c r="BI3" s="54"/>
      <c r="BJ3" s="54"/>
      <c r="BP3">
        <v>6</v>
      </c>
      <c r="BY3">
        <v>7</v>
      </c>
      <c r="CK3">
        <v>8</v>
      </c>
      <c r="CQ3">
        <v>9</v>
      </c>
      <c r="CU3" s="15"/>
      <c r="DA3">
        <v>10</v>
      </c>
      <c r="DK3">
        <v>11</v>
      </c>
    </row>
    <row r="4" spans="1:116" ht="8.25" customHeight="1" hidden="1" thickBot="1">
      <c r="A4" s="170" t="s">
        <v>107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53"/>
      <c r="S4" s="53"/>
      <c r="T4" s="53"/>
      <c r="AC4">
        <v>2</v>
      </c>
      <c r="AL4">
        <v>3</v>
      </c>
      <c r="AU4">
        <v>4</v>
      </c>
      <c r="BF4">
        <v>5</v>
      </c>
      <c r="BP4">
        <v>6</v>
      </c>
      <c r="BY4">
        <v>7</v>
      </c>
      <c r="CK4">
        <v>8</v>
      </c>
      <c r="DA4">
        <v>9</v>
      </c>
      <c r="DL4">
        <v>10</v>
      </c>
    </row>
    <row r="5" spans="1:111" ht="54" customHeight="1">
      <c r="A5" s="66" t="s">
        <v>7</v>
      </c>
      <c r="B5" s="67" t="s">
        <v>8</v>
      </c>
      <c r="C5" s="68" t="s">
        <v>9</v>
      </c>
      <c r="D5" s="69" t="s">
        <v>92</v>
      </c>
      <c r="E5" s="57" t="s">
        <v>10</v>
      </c>
      <c r="F5" s="58" t="s">
        <v>11</v>
      </c>
      <c r="G5" s="58" t="s">
        <v>12</v>
      </c>
      <c r="H5" s="58" t="s">
        <v>13</v>
      </c>
      <c r="I5" s="58" t="s">
        <v>14</v>
      </c>
      <c r="J5" s="58" t="s">
        <v>15</v>
      </c>
      <c r="K5" s="70" t="s">
        <v>16</v>
      </c>
      <c r="L5" s="57" t="s">
        <v>17</v>
      </c>
      <c r="M5" s="57" t="s">
        <v>18</v>
      </c>
      <c r="N5" s="58" t="s">
        <v>19</v>
      </c>
      <c r="O5" s="70" t="s">
        <v>20</v>
      </c>
      <c r="P5" s="58" t="s">
        <v>21</v>
      </c>
      <c r="Q5" s="59" t="s">
        <v>22</v>
      </c>
      <c r="R5" s="66" t="s">
        <v>7</v>
      </c>
      <c r="S5" s="67" t="s">
        <v>8</v>
      </c>
      <c r="T5" s="68" t="s">
        <v>9</v>
      </c>
      <c r="U5" s="57" t="s">
        <v>23</v>
      </c>
      <c r="V5" s="57" t="s">
        <v>24</v>
      </c>
      <c r="W5" s="68" t="s">
        <v>25</v>
      </c>
      <c r="X5" s="69" t="s">
        <v>26</v>
      </c>
      <c r="Y5" s="69" t="s">
        <v>108</v>
      </c>
      <c r="Z5" s="57" t="s">
        <v>27</v>
      </c>
      <c r="AA5" s="58" t="s">
        <v>28</v>
      </c>
      <c r="AB5" s="58" t="s">
        <v>29</v>
      </c>
      <c r="AC5" s="71" t="s">
        <v>100</v>
      </c>
      <c r="AD5" s="66" t="s">
        <v>7</v>
      </c>
      <c r="AE5" s="67" t="s">
        <v>8</v>
      </c>
      <c r="AF5" s="68" t="s">
        <v>9</v>
      </c>
      <c r="AG5" s="72" t="s">
        <v>3</v>
      </c>
      <c r="AH5" s="72" t="s">
        <v>30</v>
      </c>
      <c r="AI5" s="73" t="s">
        <v>109</v>
      </c>
      <c r="AJ5" s="72" t="s">
        <v>31</v>
      </c>
      <c r="AK5" s="72" t="s">
        <v>32</v>
      </c>
      <c r="AL5" s="74" t="s">
        <v>33</v>
      </c>
      <c r="AM5" s="66" t="s">
        <v>7</v>
      </c>
      <c r="AN5" s="67" t="s">
        <v>8</v>
      </c>
      <c r="AO5" s="68" t="s">
        <v>9</v>
      </c>
      <c r="AP5" s="75" t="s">
        <v>113</v>
      </c>
      <c r="AQ5" s="70" t="s">
        <v>30</v>
      </c>
      <c r="AR5" s="75" t="s">
        <v>34</v>
      </c>
      <c r="AS5" s="70" t="s">
        <v>35</v>
      </c>
      <c r="AT5" s="76" t="s">
        <v>117</v>
      </c>
      <c r="AU5" s="77" t="s">
        <v>36</v>
      </c>
      <c r="AV5" s="66" t="s">
        <v>7</v>
      </c>
      <c r="AW5" s="67" t="s">
        <v>8</v>
      </c>
      <c r="AX5" s="68" t="s">
        <v>9</v>
      </c>
      <c r="AY5" s="58" t="s">
        <v>96</v>
      </c>
      <c r="AZ5" s="58" t="s">
        <v>97</v>
      </c>
      <c r="BA5" s="58" t="s">
        <v>101</v>
      </c>
      <c r="BB5" s="58" t="s">
        <v>111</v>
      </c>
      <c r="BC5" s="57" t="s">
        <v>37</v>
      </c>
      <c r="BD5" s="58" t="s">
        <v>109</v>
      </c>
      <c r="BE5" s="70" t="s">
        <v>39</v>
      </c>
      <c r="BF5" s="78" t="s">
        <v>40</v>
      </c>
      <c r="BG5" s="66" t="s">
        <v>7</v>
      </c>
      <c r="BH5" s="67" t="s">
        <v>8</v>
      </c>
      <c r="BI5" s="68" t="s">
        <v>9</v>
      </c>
      <c r="BJ5" s="58" t="s">
        <v>110</v>
      </c>
      <c r="BK5" s="70" t="s">
        <v>103</v>
      </c>
      <c r="BL5" s="70" t="s">
        <v>102</v>
      </c>
      <c r="BM5" s="70" t="s">
        <v>104</v>
      </c>
      <c r="BN5" s="58" t="s">
        <v>93</v>
      </c>
      <c r="BO5" s="58" t="s">
        <v>94</v>
      </c>
      <c r="BP5" s="78" t="s">
        <v>105</v>
      </c>
      <c r="BQ5" s="66" t="s">
        <v>7</v>
      </c>
      <c r="BR5" s="67" t="s">
        <v>8</v>
      </c>
      <c r="BS5" s="68" t="s">
        <v>9</v>
      </c>
      <c r="BT5" s="70" t="s">
        <v>41</v>
      </c>
      <c r="BU5" s="70" t="s">
        <v>42</v>
      </c>
      <c r="BV5" s="70" t="s">
        <v>95</v>
      </c>
      <c r="BW5" s="58" t="s">
        <v>112</v>
      </c>
      <c r="BX5" s="58" t="s">
        <v>43</v>
      </c>
      <c r="BY5" s="59" t="s">
        <v>106</v>
      </c>
      <c r="BZ5" s="66" t="s">
        <v>7</v>
      </c>
      <c r="CA5" s="67" t="s">
        <v>8</v>
      </c>
      <c r="CB5" s="68" t="s">
        <v>9</v>
      </c>
      <c r="CC5" s="79" t="s">
        <v>115</v>
      </c>
      <c r="CD5" s="73" t="s">
        <v>90</v>
      </c>
      <c r="CE5" s="79" t="s">
        <v>38</v>
      </c>
      <c r="CF5" s="79" t="s">
        <v>44</v>
      </c>
      <c r="CG5" s="80" t="s">
        <v>116</v>
      </c>
      <c r="CH5" s="81" t="s">
        <v>4</v>
      </c>
      <c r="CI5" s="82" t="s">
        <v>118</v>
      </c>
      <c r="CJ5" s="82" t="s">
        <v>99</v>
      </c>
      <c r="CK5" s="83" t="s">
        <v>119</v>
      </c>
      <c r="CL5" s="66" t="s">
        <v>7</v>
      </c>
      <c r="CM5" s="67" t="s">
        <v>8</v>
      </c>
      <c r="CN5" s="68" t="s">
        <v>9</v>
      </c>
      <c r="CO5" s="84" t="s">
        <v>130</v>
      </c>
      <c r="CP5" s="85" t="s">
        <v>131</v>
      </c>
      <c r="CQ5" s="86"/>
      <c r="CR5" s="66" t="s">
        <v>7</v>
      </c>
      <c r="CS5" s="67" t="s">
        <v>8</v>
      </c>
      <c r="CT5" s="68" t="s">
        <v>9</v>
      </c>
      <c r="CU5" s="87" t="s">
        <v>132</v>
      </c>
      <c r="CV5" s="88" t="s">
        <v>120</v>
      </c>
      <c r="CW5" s="88" t="s">
        <v>121</v>
      </c>
      <c r="CX5" s="57" t="s">
        <v>45</v>
      </c>
      <c r="CY5" s="58" t="s">
        <v>129</v>
      </c>
      <c r="CZ5" s="62" t="s">
        <v>126</v>
      </c>
      <c r="DA5" s="59" t="s">
        <v>46</v>
      </c>
      <c r="DB5" s="66" t="s">
        <v>7</v>
      </c>
      <c r="DC5" s="67" t="s">
        <v>8</v>
      </c>
      <c r="DD5" s="68" t="s">
        <v>9</v>
      </c>
      <c r="DE5" s="89" t="s">
        <v>133</v>
      </c>
      <c r="DF5" s="89" t="s">
        <v>5</v>
      </c>
      <c r="DG5" s="90" t="s">
        <v>6</v>
      </c>
    </row>
    <row r="6" spans="1:111" ht="12" customHeight="1">
      <c r="A6" s="9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92">
        <v>17</v>
      </c>
      <c r="R6" s="91">
        <v>1</v>
      </c>
      <c r="S6" s="1">
        <v>2</v>
      </c>
      <c r="T6" s="1">
        <v>3</v>
      </c>
      <c r="U6" s="1">
        <v>18</v>
      </c>
      <c r="V6" s="1">
        <v>19</v>
      </c>
      <c r="W6" s="1">
        <v>20</v>
      </c>
      <c r="X6" s="1">
        <v>21</v>
      </c>
      <c r="Y6" s="1">
        <v>22</v>
      </c>
      <c r="Z6" s="1">
        <v>23</v>
      </c>
      <c r="AA6" s="1">
        <v>24</v>
      </c>
      <c r="AB6" s="1">
        <v>25</v>
      </c>
      <c r="AC6" s="92">
        <v>26</v>
      </c>
      <c r="AD6" s="91">
        <v>1</v>
      </c>
      <c r="AE6" s="1">
        <v>2</v>
      </c>
      <c r="AF6" s="1">
        <v>3</v>
      </c>
      <c r="AG6" s="93">
        <v>27</v>
      </c>
      <c r="AH6" s="93">
        <v>28</v>
      </c>
      <c r="AI6" s="93">
        <v>29</v>
      </c>
      <c r="AJ6" s="93">
        <v>30</v>
      </c>
      <c r="AK6" s="93">
        <v>31</v>
      </c>
      <c r="AL6" s="94">
        <v>32</v>
      </c>
      <c r="AM6" s="91">
        <v>1</v>
      </c>
      <c r="AN6" s="1">
        <v>2</v>
      </c>
      <c r="AO6" s="1">
        <v>3</v>
      </c>
      <c r="AP6" s="1">
        <v>33</v>
      </c>
      <c r="AQ6" s="1">
        <v>34</v>
      </c>
      <c r="AR6" s="1">
        <v>35</v>
      </c>
      <c r="AS6" s="1">
        <v>36</v>
      </c>
      <c r="AT6" s="95">
        <v>37</v>
      </c>
      <c r="AU6" s="92">
        <v>38</v>
      </c>
      <c r="AV6" s="91">
        <v>1</v>
      </c>
      <c r="AW6" s="1">
        <v>2</v>
      </c>
      <c r="AX6" s="1">
        <v>3</v>
      </c>
      <c r="AY6" s="1">
        <v>39</v>
      </c>
      <c r="AZ6" s="1">
        <v>40</v>
      </c>
      <c r="BA6" s="1">
        <v>41</v>
      </c>
      <c r="BB6" s="1">
        <v>42</v>
      </c>
      <c r="BC6" s="1">
        <v>43</v>
      </c>
      <c r="BD6" s="1">
        <v>44</v>
      </c>
      <c r="BE6" s="1">
        <v>45</v>
      </c>
      <c r="BF6" s="92">
        <v>46</v>
      </c>
      <c r="BG6" s="91">
        <v>1</v>
      </c>
      <c r="BH6" s="1">
        <v>2</v>
      </c>
      <c r="BI6" s="1">
        <v>3</v>
      </c>
      <c r="BJ6" s="1">
        <v>47</v>
      </c>
      <c r="BK6" s="95">
        <v>48</v>
      </c>
      <c r="BL6" s="95">
        <v>49</v>
      </c>
      <c r="BM6" s="1">
        <v>50</v>
      </c>
      <c r="BN6" s="1">
        <v>51</v>
      </c>
      <c r="BO6" s="1">
        <v>52</v>
      </c>
      <c r="BP6" s="92">
        <v>53</v>
      </c>
      <c r="BQ6" s="91">
        <v>1</v>
      </c>
      <c r="BR6" s="1">
        <v>2</v>
      </c>
      <c r="BS6" s="1">
        <v>3</v>
      </c>
      <c r="BT6" s="1">
        <v>54</v>
      </c>
      <c r="BU6" s="1">
        <v>55</v>
      </c>
      <c r="BV6" s="1">
        <v>56</v>
      </c>
      <c r="BW6" s="95">
        <v>57</v>
      </c>
      <c r="BX6" s="95">
        <v>58</v>
      </c>
      <c r="BY6" s="99">
        <v>59</v>
      </c>
      <c r="BZ6" s="97">
        <v>1</v>
      </c>
      <c r="CA6" s="95">
        <v>2</v>
      </c>
      <c r="CB6" s="95">
        <v>3</v>
      </c>
      <c r="CC6" s="98">
        <v>60</v>
      </c>
      <c r="CD6" s="98">
        <v>61</v>
      </c>
      <c r="CE6" s="98">
        <v>62</v>
      </c>
      <c r="CF6" s="98">
        <v>63</v>
      </c>
      <c r="CG6" s="98">
        <v>64</v>
      </c>
      <c r="CH6" s="95">
        <v>65</v>
      </c>
      <c r="CI6" s="95">
        <v>66</v>
      </c>
      <c r="CJ6" s="95">
        <v>67</v>
      </c>
      <c r="CK6" s="99">
        <v>68</v>
      </c>
      <c r="CL6" s="97">
        <v>1</v>
      </c>
      <c r="CM6" s="95">
        <v>2</v>
      </c>
      <c r="CN6" s="95">
        <v>3</v>
      </c>
      <c r="CO6" s="100">
        <v>69</v>
      </c>
      <c r="CP6" s="101">
        <v>70</v>
      </c>
      <c r="CQ6" s="102"/>
      <c r="CR6" s="97">
        <v>1</v>
      </c>
      <c r="CS6" s="95">
        <v>2</v>
      </c>
      <c r="CT6" s="95">
        <v>3</v>
      </c>
      <c r="CU6" s="103">
        <v>71</v>
      </c>
      <c r="CV6" s="95">
        <v>72</v>
      </c>
      <c r="CW6" s="95">
        <v>73</v>
      </c>
      <c r="CX6" s="104">
        <v>74</v>
      </c>
      <c r="CY6" s="95">
        <v>75</v>
      </c>
      <c r="CZ6" s="96">
        <v>76</v>
      </c>
      <c r="DA6" s="99">
        <v>77</v>
      </c>
      <c r="DB6" s="97">
        <v>1</v>
      </c>
      <c r="DC6" s="95">
        <v>2</v>
      </c>
      <c r="DD6" s="95">
        <v>3</v>
      </c>
      <c r="DE6" s="95">
        <v>78</v>
      </c>
      <c r="DF6" s="95">
        <v>79</v>
      </c>
      <c r="DG6" s="99">
        <v>80</v>
      </c>
    </row>
    <row r="7" spans="1:116" ht="12" customHeight="1">
      <c r="A7" s="105">
        <v>1</v>
      </c>
      <c r="B7" s="22" t="s">
        <v>47</v>
      </c>
      <c r="C7" s="23">
        <v>1</v>
      </c>
      <c r="D7" s="24">
        <v>3726.3</v>
      </c>
      <c r="E7" s="29">
        <v>1981</v>
      </c>
      <c r="F7" s="30">
        <v>2</v>
      </c>
      <c r="G7" s="30">
        <v>9</v>
      </c>
      <c r="H7" s="30">
        <v>2</v>
      </c>
      <c r="I7" s="30">
        <v>72</v>
      </c>
      <c r="J7" s="30"/>
      <c r="K7" s="31">
        <v>464.42</v>
      </c>
      <c r="L7" s="32">
        <f>1270</f>
        <v>1270</v>
      </c>
      <c r="M7" s="33">
        <v>0</v>
      </c>
      <c r="N7" s="33">
        <v>2496</v>
      </c>
      <c r="O7" s="33">
        <v>1900</v>
      </c>
      <c r="P7" s="30">
        <v>2</v>
      </c>
      <c r="Q7" s="106" t="s">
        <v>48</v>
      </c>
      <c r="R7" s="105">
        <v>1</v>
      </c>
      <c r="S7" s="22" t="s">
        <v>47</v>
      </c>
      <c r="T7" s="23">
        <v>1</v>
      </c>
      <c r="U7" s="34" t="s">
        <v>49</v>
      </c>
      <c r="V7" s="33">
        <v>559</v>
      </c>
      <c r="W7" s="25">
        <v>27.62</v>
      </c>
      <c r="X7" s="25">
        <v>1205085.6</v>
      </c>
      <c r="Y7" s="25">
        <v>1150158.92</v>
      </c>
      <c r="Z7" s="25">
        <f>Y7/X7*100</f>
        <v>95.44209307620967</v>
      </c>
      <c r="AA7" s="25">
        <f>Y7-AB7</f>
        <v>-158873.7484699781</v>
      </c>
      <c r="AB7" s="25">
        <f>AC7*1.18</f>
        <v>1309032.668469978</v>
      </c>
      <c r="AC7" s="107">
        <f>AG7+AP7+BJ7+CC7+CH7+CI7+CJ7+CK7</f>
        <v>1109349.7190423543</v>
      </c>
      <c r="AD7" s="105">
        <v>1</v>
      </c>
      <c r="AE7" s="22" t="s">
        <v>47</v>
      </c>
      <c r="AF7" s="23">
        <v>1</v>
      </c>
      <c r="AG7" s="108">
        <f>AK7+AL7</f>
        <v>245776.1058132759</v>
      </c>
      <c r="AH7" s="108">
        <f>2.58*82.25/79.4</f>
        <v>2.6726070528967254</v>
      </c>
      <c r="AI7" s="108">
        <f>5672359.97/82.25*AH7</f>
        <v>184315.9788740554</v>
      </c>
      <c r="AJ7" s="108">
        <f>AI7*24.109918/100</f>
        <v>44438.43136743209</v>
      </c>
      <c r="AK7" s="108">
        <f>AI7+AJ7</f>
        <v>228754.4102414875</v>
      </c>
      <c r="AL7" s="109">
        <f>523845.98/82.25*AH7</f>
        <v>17021.695571788412</v>
      </c>
      <c r="AM7" s="105">
        <v>1</v>
      </c>
      <c r="AN7" s="22" t="s">
        <v>47</v>
      </c>
      <c r="AO7" s="23">
        <v>1</v>
      </c>
      <c r="AP7" s="24">
        <f>AR7+AS7+AT7+AU7+AY7+BD7+BE7+BF7</f>
        <v>307079.2742018406</v>
      </c>
      <c r="AQ7" s="24">
        <f>0.807+0.018</f>
        <v>0.8250000000000001</v>
      </c>
      <c r="AR7" s="24">
        <f>8339578.46/63.3*AQ7</f>
        <v>108691.18845971566</v>
      </c>
      <c r="AS7" s="24">
        <f>2252556.66/8339578.46*AR7</f>
        <v>29357.965947867306</v>
      </c>
      <c r="AT7" s="110">
        <v>110789.3</v>
      </c>
      <c r="AU7" s="60">
        <f aca="true" t="shared" si="0" ref="AU7:AU38">141441.83/74.3*(AQ7+BC7)</f>
        <v>1949.8076495769537</v>
      </c>
      <c r="AV7" s="105">
        <v>1</v>
      </c>
      <c r="AW7" s="22" t="s">
        <v>47</v>
      </c>
      <c r="AX7" s="23">
        <v>1</v>
      </c>
      <c r="AY7" s="14">
        <f>AZ7+BA7+BB7</f>
        <v>0</v>
      </c>
      <c r="AZ7" s="24"/>
      <c r="BA7" s="14"/>
      <c r="BB7" s="14"/>
      <c r="BC7" s="25">
        <f>11/205725.87*D7</f>
        <v>0.19924232183341845</v>
      </c>
      <c r="BD7" s="25">
        <f>1766161.53/11*BC7</f>
        <v>31990.37490636934</v>
      </c>
      <c r="BE7" s="24">
        <f>466821.49/1766161.53*BD7</f>
        <v>8455.508868121447</v>
      </c>
      <c r="BF7" s="111">
        <f>874796.13/205725.87*D7</f>
        <v>15845.128370189905</v>
      </c>
      <c r="BG7" s="105">
        <v>1</v>
      </c>
      <c r="BH7" s="22" t="s">
        <v>47</v>
      </c>
      <c r="BI7" s="23">
        <v>1</v>
      </c>
      <c r="BJ7" s="24">
        <f>BK7+BL7+BM7+BN7+BP7+BT7+BU7+BV7+BW7+BX7+BO7+BY7</f>
        <v>228458.56024251797</v>
      </c>
      <c r="BK7" s="24"/>
      <c r="BL7" s="14">
        <f>100002.16/205725.87*D7</f>
        <v>1811.3329587960914</v>
      </c>
      <c r="BM7" s="24">
        <f>28000/37*2</f>
        <v>1513.5135135135135</v>
      </c>
      <c r="BN7" s="24">
        <f>141316.88/37*2</f>
        <v>7638.75027027027</v>
      </c>
      <c r="BO7" s="24">
        <f>35936.8/37*2</f>
        <v>1942.52972972973</v>
      </c>
      <c r="BP7" s="35">
        <f>3713050.58/37*2</f>
        <v>200705.43675675677</v>
      </c>
      <c r="BQ7" s="105">
        <v>1</v>
      </c>
      <c r="BR7" s="22" t="s">
        <v>47</v>
      </c>
      <c r="BS7" s="23">
        <v>1</v>
      </c>
      <c r="BT7" s="24">
        <f>23531.16/I68*I7</f>
        <v>390.28876295784386</v>
      </c>
      <c r="BU7" s="24"/>
      <c r="BV7" s="24"/>
      <c r="BW7" s="24">
        <f>350628.59/205725.87*D7</f>
        <v>6350.914033888885</v>
      </c>
      <c r="BX7" s="24"/>
      <c r="BY7" s="35">
        <f>447514.04/205725.87*D7</f>
        <v>8105.794216604844</v>
      </c>
      <c r="BZ7" s="105">
        <v>1</v>
      </c>
      <c r="CA7" s="22" t="s">
        <v>47</v>
      </c>
      <c r="CB7" s="23">
        <v>1</v>
      </c>
      <c r="CC7" s="112">
        <f aca="true" t="shared" si="1" ref="CC7:CC67">CE7+CF7+CG7</f>
        <v>185996.38653153347</v>
      </c>
      <c r="CD7" s="112">
        <f>38.6/205725.87*D7</f>
        <v>0.6991594202518139</v>
      </c>
      <c r="CE7" s="108">
        <f>7204187.55/38.6*CD7</f>
        <v>130489.00494412785</v>
      </c>
      <c r="CF7" s="108">
        <f>1978472.66/7204187.55*CE7</f>
        <v>35835.95331475813</v>
      </c>
      <c r="CG7" s="108">
        <f>1086042.91/38.6*CD7</f>
        <v>19671.42827264748</v>
      </c>
      <c r="CH7" s="113">
        <f>5906755.9/205725.87*D7</f>
        <v>106988.70545629483</v>
      </c>
      <c r="CI7" s="114">
        <f>624759.57/205725.87*D7</f>
        <v>11316.231574040738</v>
      </c>
      <c r="CJ7" s="114">
        <f>1265508.4/205725.87*D7</f>
        <v>22922.07562869949</v>
      </c>
      <c r="CK7" s="115">
        <f>44850.79/205725.87*D7</f>
        <v>812.3795941511877</v>
      </c>
      <c r="CL7" s="105">
        <v>1</v>
      </c>
      <c r="CM7" s="22" t="s">
        <v>47</v>
      </c>
      <c r="CN7" s="23">
        <v>1</v>
      </c>
      <c r="CO7" s="116">
        <v>186911.28</v>
      </c>
      <c r="CP7" s="117">
        <v>176500.33</v>
      </c>
      <c r="CQ7" s="118"/>
      <c r="CR7" s="105">
        <v>1</v>
      </c>
      <c r="CS7" s="22" t="s">
        <v>47</v>
      </c>
      <c r="CT7" s="23">
        <v>1</v>
      </c>
      <c r="CU7" s="119">
        <v>1.37</v>
      </c>
      <c r="CV7" s="113">
        <v>24253.07</v>
      </c>
      <c r="CW7" s="113">
        <v>25019.88</v>
      </c>
      <c r="CX7" s="27" t="s">
        <v>91</v>
      </c>
      <c r="CY7" s="26">
        <v>61100</v>
      </c>
      <c r="CZ7" s="63"/>
      <c r="DA7" s="60">
        <v>1617438</v>
      </c>
      <c r="DB7" s="105">
        <v>1</v>
      </c>
      <c r="DC7" s="22" t="s">
        <v>47</v>
      </c>
      <c r="DD7" s="23">
        <v>1</v>
      </c>
      <c r="DE7" s="113">
        <v>1.31</v>
      </c>
      <c r="DF7" s="120">
        <v>8323.59</v>
      </c>
      <c r="DG7" s="121">
        <v>7806.35</v>
      </c>
      <c r="DH7" s="28"/>
      <c r="DI7" s="28"/>
      <c r="DJ7" s="28"/>
      <c r="DK7" s="28"/>
      <c r="DL7" s="28"/>
    </row>
    <row r="8" spans="1:116" ht="12" customHeight="1">
      <c r="A8" s="122">
        <v>2</v>
      </c>
      <c r="B8" s="5" t="s">
        <v>47</v>
      </c>
      <c r="C8" s="6" t="s">
        <v>50</v>
      </c>
      <c r="D8" s="2">
        <v>1930.6</v>
      </c>
      <c r="E8" s="36">
        <v>1958</v>
      </c>
      <c r="F8" s="37">
        <v>4</v>
      </c>
      <c r="G8" s="37">
        <v>3</v>
      </c>
      <c r="H8" s="37"/>
      <c r="I8" s="37">
        <v>30</v>
      </c>
      <c r="J8" s="37"/>
      <c r="K8" s="38">
        <v>202</v>
      </c>
      <c r="L8" s="39">
        <f>1510+530+723</f>
        <v>2763</v>
      </c>
      <c r="M8" s="40">
        <v>0</v>
      </c>
      <c r="N8" s="40">
        <v>0</v>
      </c>
      <c r="O8" s="40">
        <v>4007</v>
      </c>
      <c r="P8" s="37"/>
      <c r="Q8" s="123" t="s">
        <v>51</v>
      </c>
      <c r="R8" s="122">
        <v>2</v>
      </c>
      <c r="S8" s="5" t="s">
        <v>47</v>
      </c>
      <c r="T8" s="6" t="s">
        <v>50</v>
      </c>
      <c r="U8" s="41" t="s">
        <v>52</v>
      </c>
      <c r="V8" s="40">
        <v>1101</v>
      </c>
      <c r="W8" s="3">
        <v>20.6</v>
      </c>
      <c r="X8" s="3">
        <v>464040.42</v>
      </c>
      <c r="Y8" s="3">
        <v>427968.66</v>
      </c>
      <c r="Z8" s="3">
        <f aca="true" t="shared" si="2" ref="Z8:Z67">Y8/X8*100</f>
        <v>92.22659095084863</v>
      </c>
      <c r="AA8" s="3">
        <f>Y8-AB8</f>
        <v>-150558.407243477</v>
      </c>
      <c r="AB8" s="3">
        <f aca="true" t="shared" si="3" ref="AB8:AB67">AC8*1.18</f>
        <v>578527.067243477</v>
      </c>
      <c r="AC8" s="107">
        <f aca="true" t="shared" si="4" ref="AC8:AC67">AG8+AP8+BJ8+CC8+CH8+CI8+CJ8+CK8</f>
        <v>490277.17563006526</v>
      </c>
      <c r="AD8" s="122">
        <v>2</v>
      </c>
      <c r="AE8" s="5" t="s">
        <v>47</v>
      </c>
      <c r="AF8" s="6" t="s">
        <v>50</v>
      </c>
      <c r="AG8" s="124">
        <f aca="true" t="shared" si="5" ref="AG8:AG67">AK8+AL8</f>
        <v>143845.70534032813</v>
      </c>
      <c r="AH8" s="124">
        <f>1.51*82.25/79.4</f>
        <v>1.5642002518891687</v>
      </c>
      <c r="AI8" s="108">
        <f aca="true" t="shared" si="6" ref="AI8:AI67">5672359.97/82.25*AH8</f>
        <v>107874.85585264483</v>
      </c>
      <c r="AJ8" s="108">
        <f>AI8*24.109918/100</f>
        <v>26008.539288690874</v>
      </c>
      <c r="AK8" s="124">
        <f aca="true" t="shared" si="7" ref="AK8:AK67">AI8+AJ8</f>
        <v>133883.3951413357</v>
      </c>
      <c r="AL8" s="109">
        <f aca="true" t="shared" si="8" ref="AL8:AL67">523845.98/82.25*AH8</f>
        <v>9962.310198992442</v>
      </c>
      <c r="AM8" s="122">
        <v>2</v>
      </c>
      <c r="AN8" s="5" t="s">
        <v>47</v>
      </c>
      <c r="AO8" s="6" t="s">
        <v>50</v>
      </c>
      <c r="AP8" s="2">
        <f aca="true" t="shared" si="9" ref="AP8:AP38">AR8+AS8+AT8+AU8+AY8+BD8+BE8+BF8</f>
        <v>157618.0640116537</v>
      </c>
      <c r="AQ8" s="2">
        <f>0.634+0.018</f>
        <v>0.652</v>
      </c>
      <c r="AR8" s="24">
        <f aca="true" t="shared" si="10" ref="AR8:AR67">8339578.46/63.3*AQ8</f>
        <v>85898.97560695103</v>
      </c>
      <c r="AS8" s="24">
        <f aca="true" t="shared" si="11" ref="AS8:AS67">2252556.66/8339578.46*AR8</f>
        <v>23201.689452132705</v>
      </c>
      <c r="AT8" s="110">
        <v>17915.27</v>
      </c>
      <c r="AU8" s="60">
        <f t="shared" si="0"/>
        <v>1437.6955879668676</v>
      </c>
      <c r="AV8" s="122">
        <v>2</v>
      </c>
      <c r="AW8" s="5" t="s">
        <v>47</v>
      </c>
      <c r="AX8" s="6" t="s">
        <v>50</v>
      </c>
      <c r="AY8" s="14">
        <f aca="true" t="shared" si="12" ref="AY8:AY67">AZ8+BA8+BB8</f>
        <v>0</v>
      </c>
      <c r="AZ8" s="9"/>
      <c r="BA8" s="9"/>
      <c r="BB8" s="9"/>
      <c r="BC8" s="25">
        <f aca="true" t="shared" si="13" ref="BC8:BC67">11/205725.87*D8</f>
        <v>0.1032276592146627</v>
      </c>
      <c r="BD8" s="25">
        <f aca="true" t="shared" si="14" ref="BD8:BD67">1766161.53/11*BC8</f>
        <v>16574.247321535207</v>
      </c>
      <c r="BE8" s="24">
        <f aca="true" t="shared" si="15" ref="BE8:BE67">466821.49/1766161.53*BD8</f>
        <v>4380.808153072825</v>
      </c>
      <c r="BF8" s="111">
        <f aca="true" t="shared" si="16" ref="BF8:BF67">874796.13/205725.87*D8</f>
        <v>8209.37788999507</v>
      </c>
      <c r="BG8" s="122">
        <v>2</v>
      </c>
      <c r="BH8" s="5" t="s">
        <v>47</v>
      </c>
      <c r="BI8" s="6" t="s">
        <v>50</v>
      </c>
      <c r="BJ8" s="24">
        <f aca="true" t="shared" si="17" ref="BJ8:BJ67">BK8+BL8+BM8+BN8+BP8+BT8+BU8+BV8+BW8+BX8+BO8+BY8</f>
        <v>18857.719800403174</v>
      </c>
      <c r="BK8" s="24"/>
      <c r="BL8" s="14">
        <f aca="true" t="shared" si="18" ref="BL8:BL67">100002.16/205725.87*D8</f>
        <v>938.4535357463794</v>
      </c>
      <c r="BM8" s="2"/>
      <c r="BN8" s="2"/>
      <c r="BO8" s="2"/>
      <c r="BP8" s="42"/>
      <c r="BQ8" s="122">
        <v>2</v>
      </c>
      <c r="BR8" s="5" t="s">
        <v>47</v>
      </c>
      <c r="BS8" s="6" t="s">
        <v>50</v>
      </c>
      <c r="BT8" s="2">
        <f>23531.16/4341*I8</f>
        <v>162.6203178991016</v>
      </c>
      <c r="BU8" s="2">
        <f>18.5*I8*4</f>
        <v>2220</v>
      </c>
      <c r="BV8" s="2"/>
      <c r="BW8" s="24">
        <f aca="true" t="shared" si="19" ref="BW8:BW67">350628.59/205725.87*D8</f>
        <v>3290.415327221608</v>
      </c>
      <c r="BX8" s="2">
        <v>8046.61</v>
      </c>
      <c r="BY8" s="35">
        <f aca="true" t="shared" si="20" ref="BY8:BY67">447514.04/205725.87*D8</f>
        <v>4199.620619536085</v>
      </c>
      <c r="BZ8" s="122">
        <v>2</v>
      </c>
      <c r="CA8" s="5" t="s">
        <v>47</v>
      </c>
      <c r="CB8" s="6" t="s">
        <v>50</v>
      </c>
      <c r="CC8" s="125">
        <f t="shared" si="1"/>
        <v>96364.92602253669</v>
      </c>
      <c r="CD8" s="112">
        <f aca="true" t="shared" si="21" ref="CD8:CD67">38.6/205725.87*D8</f>
        <v>0.3622352405169073</v>
      </c>
      <c r="CE8" s="108">
        <f aca="true" t="shared" si="22" ref="CE8:CE67">7204187.55/38.6*CD8</f>
        <v>67606.4924845378</v>
      </c>
      <c r="CF8" s="108">
        <f aca="true" t="shared" si="23" ref="CF8:CF67">1978472.66/7204187.55*CE8</f>
        <v>18566.645592000652</v>
      </c>
      <c r="CG8" s="108">
        <f aca="true" t="shared" si="24" ref="CG8:CG67">1086042.91/38.6*CD8</f>
        <v>10191.787945998234</v>
      </c>
      <c r="CH8" s="113">
        <f aca="true" t="shared" si="25" ref="CH8:CH66">5906755.9/205725.87*D8</f>
        <v>55430.96228267257</v>
      </c>
      <c r="CI8" s="114">
        <f aca="true" t="shared" si="26" ref="CI8:CI67">624759.57/205725.87*D8</f>
        <v>5862.951634823564</v>
      </c>
      <c r="CJ8" s="114">
        <f aca="true" t="shared" si="27" ref="CJ8:CJ67">1265508.4/205725.87*D8</f>
        <v>11875.951804408458</v>
      </c>
      <c r="CK8" s="115">
        <f aca="true" t="shared" si="28" ref="CK8:CK67">44850.79/205725.87*D8</f>
        <v>420.89473323894555</v>
      </c>
      <c r="CL8" s="122">
        <v>2</v>
      </c>
      <c r="CM8" s="5" t="s">
        <v>47</v>
      </c>
      <c r="CN8" s="6" t="s">
        <v>50</v>
      </c>
      <c r="CO8" s="126">
        <v>96862.38</v>
      </c>
      <c r="CP8" s="127">
        <v>88562.8</v>
      </c>
      <c r="CQ8" s="128"/>
      <c r="CR8" s="122">
        <v>2</v>
      </c>
      <c r="CS8" s="5" t="s">
        <v>47</v>
      </c>
      <c r="CT8" s="6" t="s">
        <v>50</v>
      </c>
      <c r="CU8" s="129">
        <v>0</v>
      </c>
      <c r="CV8" s="130">
        <v>0</v>
      </c>
      <c r="CW8" s="130">
        <v>-75.98</v>
      </c>
      <c r="CX8" s="12"/>
      <c r="CY8" s="8"/>
      <c r="CZ8" s="64"/>
      <c r="DA8" s="61"/>
      <c r="DB8" s="122">
        <v>2</v>
      </c>
      <c r="DC8" s="5" t="s">
        <v>47</v>
      </c>
      <c r="DD8" s="6" t="s">
        <v>50</v>
      </c>
      <c r="DE8" s="131">
        <v>0</v>
      </c>
      <c r="DF8" s="132">
        <v>0</v>
      </c>
      <c r="DG8" s="133">
        <v>-0.32</v>
      </c>
      <c r="DH8" s="16"/>
      <c r="DI8" s="16"/>
      <c r="DJ8" s="16"/>
      <c r="DK8" s="16"/>
      <c r="DL8" s="16"/>
    </row>
    <row r="9" spans="1:116" ht="12" customHeight="1">
      <c r="A9" s="122">
        <v>3</v>
      </c>
      <c r="B9" s="5" t="s">
        <v>47</v>
      </c>
      <c r="C9" s="6">
        <v>3</v>
      </c>
      <c r="D9" s="2">
        <v>670.3</v>
      </c>
      <c r="E9" s="36">
        <v>1958</v>
      </c>
      <c r="F9" s="37">
        <v>2</v>
      </c>
      <c r="G9" s="37">
        <v>2</v>
      </c>
      <c r="H9" s="37"/>
      <c r="I9" s="37">
        <v>12</v>
      </c>
      <c r="J9" s="37"/>
      <c r="K9" s="38">
        <v>67</v>
      </c>
      <c r="L9" s="39"/>
      <c r="M9" s="40"/>
      <c r="N9" s="40"/>
      <c r="O9" s="40"/>
      <c r="P9" s="37"/>
      <c r="Q9" s="123" t="s">
        <v>53</v>
      </c>
      <c r="R9" s="122">
        <v>3</v>
      </c>
      <c r="S9" s="5" t="s">
        <v>47</v>
      </c>
      <c r="T9" s="6">
        <v>3</v>
      </c>
      <c r="U9" s="41" t="s">
        <v>54</v>
      </c>
      <c r="V9" s="40">
        <v>570</v>
      </c>
      <c r="W9" s="3">
        <v>13.85</v>
      </c>
      <c r="X9" s="3">
        <v>108629.04</v>
      </c>
      <c r="Y9" s="3">
        <v>108867.1</v>
      </c>
      <c r="Z9" s="3">
        <f t="shared" si="2"/>
        <v>100.2191495018275</v>
      </c>
      <c r="AA9" s="3">
        <f aca="true" t="shared" si="29" ref="AA9:AA66">Y9-AB9</f>
        <v>-126368.37815578817</v>
      </c>
      <c r="AB9" s="3">
        <f t="shared" si="3"/>
        <v>235235.47815578818</v>
      </c>
      <c r="AC9" s="107">
        <f t="shared" si="4"/>
        <v>199352.1001320239</v>
      </c>
      <c r="AD9" s="122">
        <v>3</v>
      </c>
      <c r="AE9" s="5" t="s">
        <v>47</v>
      </c>
      <c r="AF9" s="6">
        <v>3</v>
      </c>
      <c r="AG9" s="124">
        <f t="shared" si="5"/>
        <v>67636.06012690924</v>
      </c>
      <c r="AH9" s="124">
        <f>0.71*82.25/79.4</f>
        <v>0.7354848866498739</v>
      </c>
      <c r="AI9" s="108">
        <f t="shared" si="6"/>
        <v>50722.61434130981</v>
      </c>
      <c r="AJ9" s="108">
        <f aca="true" t="shared" si="30" ref="AJ9:AJ67">AI9*24.109918/100</f>
        <v>12229.180725146036</v>
      </c>
      <c r="AK9" s="124">
        <f t="shared" si="7"/>
        <v>62951.795066455845</v>
      </c>
      <c r="AL9" s="109">
        <f t="shared" si="8"/>
        <v>4684.265060453399</v>
      </c>
      <c r="AM9" s="122">
        <v>3</v>
      </c>
      <c r="AN9" s="5" t="s">
        <v>47</v>
      </c>
      <c r="AO9" s="6">
        <v>3</v>
      </c>
      <c r="AP9" s="2">
        <f t="shared" si="9"/>
        <v>64030.4051452752</v>
      </c>
      <c r="AQ9" s="2">
        <f>0.247+0.018</f>
        <v>0.265</v>
      </c>
      <c r="AR9" s="24">
        <f t="shared" si="10"/>
        <v>34912.92720221169</v>
      </c>
      <c r="AS9" s="24">
        <f t="shared" si="11"/>
        <v>9430.13451658768</v>
      </c>
      <c r="AT9" s="110">
        <v>8988.82</v>
      </c>
      <c r="AU9" s="60">
        <f t="shared" si="0"/>
        <v>572.6974219728511</v>
      </c>
      <c r="AV9" s="122">
        <v>3</v>
      </c>
      <c r="AW9" s="5" t="s">
        <v>47</v>
      </c>
      <c r="AX9" s="6">
        <v>3</v>
      </c>
      <c r="AY9" s="14">
        <f t="shared" si="12"/>
        <v>0</v>
      </c>
      <c r="AZ9" s="2"/>
      <c r="BA9" s="2"/>
      <c r="BB9" s="2"/>
      <c r="BC9" s="25">
        <f t="shared" si="13"/>
        <v>0.03584041229233834</v>
      </c>
      <c r="BD9" s="25">
        <f t="shared" si="14"/>
        <v>5754.541582733373</v>
      </c>
      <c r="BE9" s="24">
        <f t="shared" si="15"/>
        <v>1521.0067880476092</v>
      </c>
      <c r="BF9" s="111">
        <f t="shared" si="16"/>
        <v>2850.277633722001</v>
      </c>
      <c r="BG9" s="122">
        <v>3</v>
      </c>
      <c r="BH9" s="5" t="s">
        <v>47</v>
      </c>
      <c r="BI9" s="6">
        <v>3</v>
      </c>
      <c r="BJ9" s="24">
        <f t="shared" si="17"/>
        <v>8677.400815506517</v>
      </c>
      <c r="BK9" s="24"/>
      <c r="BL9" s="14">
        <f t="shared" si="18"/>
        <v>325.8289676840351</v>
      </c>
      <c r="BM9" s="2"/>
      <c r="BN9" s="2"/>
      <c r="BO9" s="2"/>
      <c r="BP9" s="42"/>
      <c r="BQ9" s="122">
        <v>3</v>
      </c>
      <c r="BR9" s="5" t="s">
        <v>47</v>
      </c>
      <c r="BS9" s="6">
        <v>3</v>
      </c>
      <c r="BT9" s="2">
        <f aca="true" t="shared" si="31" ref="BT9:BT67">23531.16/4341*I9</f>
        <v>65.04812715964064</v>
      </c>
      <c r="BU9" s="2">
        <f>18.5*I9*4</f>
        <v>888</v>
      </c>
      <c r="BV9" s="2"/>
      <c r="BW9" s="24">
        <f t="shared" si="19"/>
        <v>1142.4248388255692</v>
      </c>
      <c r="BX9" s="2">
        <v>4798</v>
      </c>
      <c r="BY9" s="35">
        <f t="shared" si="20"/>
        <v>1458.098881837272</v>
      </c>
      <c r="BZ9" s="122">
        <v>3</v>
      </c>
      <c r="CA9" s="5" t="s">
        <v>47</v>
      </c>
      <c r="CB9" s="6">
        <v>3</v>
      </c>
      <c r="CC9" s="125">
        <f t="shared" si="1"/>
        <v>33457.68668440192</v>
      </c>
      <c r="CD9" s="112">
        <f t="shared" si="21"/>
        <v>0.12576726495311455</v>
      </c>
      <c r="CE9" s="108">
        <f t="shared" si="22"/>
        <v>23472.822911211893</v>
      </c>
      <c r="CF9" s="108">
        <f t="shared" si="23"/>
        <v>6446.297803956302</v>
      </c>
      <c r="CG9" s="108">
        <f t="shared" si="24"/>
        <v>3538.565969233718</v>
      </c>
      <c r="CH9" s="113">
        <f t="shared" si="25"/>
        <v>19245.50606965473</v>
      </c>
      <c r="CI9" s="114">
        <f t="shared" si="26"/>
        <v>2035.6036883985469</v>
      </c>
      <c r="CJ9" s="114">
        <f t="shared" si="27"/>
        <v>4123.303892310675</v>
      </c>
      <c r="CK9" s="115">
        <f t="shared" si="28"/>
        <v>146.13370956700777</v>
      </c>
      <c r="CL9" s="122">
        <v>3</v>
      </c>
      <c r="CM9" s="5" t="s">
        <v>47</v>
      </c>
      <c r="CN9" s="6">
        <v>3</v>
      </c>
      <c r="CO9" s="126">
        <v>33622.2</v>
      </c>
      <c r="CP9" s="127">
        <v>32162</v>
      </c>
      <c r="CQ9" s="128"/>
      <c r="CR9" s="122">
        <v>3</v>
      </c>
      <c r="CS9" s="5" t="s">
        <v>47</v>
      </c>
      <c r="CT9" s="6">
        <v>3</v>
      </c>
      <c r="CU9" s="129">
        <v>0</v>
      </c>
      <c r="CV9" s="134">
        <v>0</v>
      </c>
      <c r="CW9" s="130">
        <v>-6.84</v>
      </c>
      <c r="CX9" s="12"/>
      <c r="CY9" s="8"/>
      <c r="CZ9" s="64"/>
      <c r="DA9" s="61"/>
      <c r="DB9" s="122">
        <v>3</v>
      </c>
      <c r="DC9" s="5" t="s">
        <v>47</v>
      </c>
      <c r="DD9" s="6">
        <v>3</v>
      </c>
      <c r="DE9" s="131">
        <v>0</v>
      </c>
      <c r="DF9" s="132">
        <v>0</v>
      </c>
      <c r="DG9" s="133">
        <v>-796.41</v>
      </c>
      <c r="DH9" s="16"/>
      <c r="DI9" s="16"/>
      <c r="DJ9" s="16"/>
      <c r="DK9" s="16"/>
      <c r="DL9" s="16"/>
    </row>
    <row r="10" spans="1:116" ht="12" customHeight="1">
      <c r="A10" s="122">
        <v>4</v>
      </c>
      <c r="B10" s="5" t="s">
        <v>47</v>
      </c>
      <c r="C10" s="6" t="s">
        <v>55</v>
      </c>
      <c r="D10" s="2">
        <v>1876.5</v>
      </c>
      <c r="E10" s="36">
        <v>1958</v>
      </c>
      <c r="F10" s="37">
        <v>4</v>
      </c>
      <c r="G10" s="37">
        <v>3</v>
      </c>
      <c r="H10" s="37"/>
      <c r="I10" s="37">
        <v>30</v>
      </c>
      <c r="J10" s="37"/>
      <c r="K10" s="38">
        <v>187</v>
      </c>
      <c r="L10" s="39">
        <f>243+564+483</f>
        <v>1290</v>
      </c>
      <c r="M10" s="40">
        <v>0</v>
      </c>
      <c r="N10" s="40">
        <v>0</v>
      </c>
      <c r="O10" s="40">
        <v>2674</v>
      </c>
      <c r="P10" s="37"/>
      <c r="Q10" s="123" t="s">
        <v>51</v>
      </c>
      <c r="R10" s="122">
        <v>4</v>
      </c>
      <c r="S10" s="5" t="s">
        <v>47</v>
      </c>
      <c r="T10" s="6" t="s">
        <v>55</v>
      </c>
      <c r="U10" s="41" t="s">
        <v>52</v>
      </c>
      <c r="V10" s="40">
        <v>1092</v>
      </c>
      <c r="W10" s="3">
        <v>20.6</v>
      </c>
      <c r="X10" s="3">
        <v>450923.4</v>
      </c>
      <c r="Y10" s="3">
        <v>451687.26</v>
      </c>
      <c r="Z10" s="3">
        <f t="shared" si="2"/>
        <v>100.16939905979596</v>
      </c>
      <c r="AA10" s="3">
        <f t="shared" si="29"/>
        <v>-38879.83601450332</v>
      </c>
      <c r="AB10" s="3">
        <f t="shared" si="3"/>
        <v>490567.09601450333</v>
      </c>
      <c r="AC10" s="107">
        <f t="shared" si="4"/>
        <v>415734.82713093504</v>
      </c>
      <c r="AD10" s="122">
        <v>4</v>
      </c>
      <c r="AE10" s="5" t="s">
        <v>47</v>
      </c>
      <c r="AF10" s="6" t="s">
        <v>55</v>
      </c>
      <c r="AG10" s="124">
        <f t="shared" si="5"/>
        <v>87641.09199543172</v>
      </c>
      <c r="AH10" s="124">
        <f>0.92*82.25/79.4</f>
        <v>0.9530226700251889</v>
      </c>
      <c r="AI10" s="108">
        <f t="shared" si="6"/>
        <v>65725.07773803527</v>
      </c>
      <c r="AJ10" s="108">
        <f t="shared" si="30"/>
        <v>15846.262348076556</v>
      </c>
      <c r="AK10" s="124">
        <f t="shared" si="7"/>
        <v>81571.34008611183</v>
      </c>
      <c r="AL10" s="109">
        <f t="shared" si="8"/>
        <v>6069.751909319899</v>
      </c>
      <c r="AM10" s="122">
        <v>4</v>
      </c>
      <c r="AN10" s="5" t="s">
        <v>47</v>
      </c>
      <c r="AO10" s="6" t="s">
        <v>55</v>
      </c>
      <c r="AP10" s="2">
        <f t="shared" si="9"/>
        <v>152325.68739126742</v>
      </c>
      <c r="AQ10" s="2">
        <f>0.61+0.018</f>
        <v>0.628</v>
      </c>
      <c r="AR10" s="24">
        <f t="shared" si="10"/>
        <v>82737.05012448657</v>
      </c>
      <c r="AS10" s="24">
        <f t="shared" si="11"/>
        <v>22347.639533649293</v>
      </c>
      <c r="AT10" s="110">
        <v>15714.77</v>
      </c>
      <c r="AU10" s="60">
        <f t="shared" si="0"/>
        <v>1386.5010996094572</v>
      </c>
      <c r="AV10" s="122">
        <v>4</v>
      </c>
      <c r="AW10" s="5" t="s">
        <v>47</v>
      </c>
      <c r="AX10" s="6" t="s">
        <v>55</v>
      </c>
      <c r="AY10" s="14">
        <f t="shared" si="12"/>
        <v>1792.55</v>
      </c>
      <c r="AZ10" s="2">
        <v>1792.55</v>
      </c>
      <c r="BA10" s="2"/>
      <c r="BB10" s="2"/>
      <c r="BC10" s="25">
        <f t="shared" si="13"/>
        <v>0.1003349748867267</v>
      </c>
      <c r="BD10" s="25">
        <f t="shared" si="14"/>
        <v>16109.79752349571</v>
      </c>
      <c r="BE10" s="24">
        <f t="shared" si="15"/>
        <v>4258.047497794031</v>
      </c>
      <c r="BF10" s="111">
        <f t="shared" si="16"/>
        <v>7979.331612232337</v>
      </c>
      <c r="BG10" s="122">
        <v>4</v>
      </c>
      <c r="BH10" s="5" t="s">
        <v>47</v>
      </c>
      <c r="BI10" s="6" t="s">
        <v>55</v>
      </c>
      <c r="BJ10" s="24">
        <f t="shared" si="17"/>
        <v>10574.923495107685</v>
      </c>
      <c r="BK10" s="24"/>
      <c r="BL10" s="14">
        <f t="shared" si="18"/>
        <v>912.1558374744023</v>
      </c>
      <c r="BM10" s="2"/>
      <c r="BN10" s="2"/>
      <c r="BO10" s="2"/>
      <c r="BP10" s="42"/>
      <c r="BQ10" s="122">
        <v>4</v>
      </c>
      <c r="BR10" s="5" t="s">
        <v>47</v>
      </c>
      <c r="BS10" s="6" t="s">
        <v>55</v>
      </c>
      <c r="BT10" s="2">
        <f t="shared" si="31"/>
        <v>162.6203178991016</v>
      </c>
      <c r="BU10" s="2">
        <f>18.5*I10*4</f>
        <v>2220</v>
      </c>
      <c r="BV10" s="2"/>
      <c r="BW10" s="24">
        <f t="shared" si="19"/>
        <v>3198.210070201672</v>
      </c>
      <c r="BX10" s="2"/>
      <c r="BY10" s="35">
        <f t="shared" si="20"/>
        <v>4081.9372695325096</v>
      </c>
      <c r="BZ10" s="122">
        <v>4</v>
      </c>
      <c r="CA10" s="5" t="s">
        <v>47</v>
      </c>
      <c r="CB10" s="6" t="s">
        <v>55</v>
      </c>
      <c r="CC10" s="125">
        <f t="shared" si="1"/>
        <v>93664.55178767747</v>
      </c>
      <c r="CD10" s="112">
        <f t="shared" si="21"/>
        <v>0.35208454823887736</v>
      </c>
      <c r="CE10" s="108">
        <f t="shared" si="22"/>
        <v>65711.99790077447</v>
      </c>
      <c r="CF10" s="108">
        <f t="shared" si="23"/>
        <v>18046.364059561394</v>
      </c>
      <c r="CG10" s="108">
        <f t="shared" si="24"/>
        <v>9906.189827341597</v>
      </c>
      <c r="CH10" s="113">
        <f t="shared" si="25"/>
        <v>53877.654989865885</v>
      </c>
      <c r="CI10" s="114">
        <f t="shared" si="26"/>
        <v>5698.657796926561</v>
      </c>
      <c r="CJ10" s="114">
        <f t="shared" si="27"/>
        <v>11543.159412085606</v>
      </c>
      <c r="CK10" s="115">
        <f t="shared" si="28"/>
        <v>409.10026257271386</v>
      </c>
      <c r="CL10" s="122">
        <v>4</v>
      </c>
      <c r="CM10" s="5" t="s">
        <v>47</v>
      </c>
      <c r="CN10" s="6" t="s">
        <v>55</v>
      </c>
      <c r="CO10" s="126">
        <v>94125.24</v>
      </c>
      <c r="CP10" s="127">
        <v>92059.24</v>
      </c>
      <c r="CQ10" s="128"/>
      <c r="CR10" s="122">
        <v>4</v>
      </c>
      <c r="CS10" s="5" t="s">
        <v>47</v>
      </c>
      <c r="CT10" s="6" t="s">
        <v>55</v>
      </c>
      <c r="CU10" s="129">
        <v>0</v>
      </c>
      <c r="CV10" s="130">
        <v>0</v>
      </c>
      <c r="CW10" s="130">
        <v>27.47</v>
      </c>
      <c r="CX10" s="12"/>
      <c r="CY10" s="8"/>
      <c r="CZ10" s="64"/>
      <c r="DA10" s="61"/>
      <c r="DB10" s="122">
        <v>4</v>
      </c>
      <c r="DC10" s="5" t="s">
        <v>47</v>
      </c>
      <c r="DD10" s="6" t="s">
        <v>55</v>
      </c>
      <c r="DE10" s="131">
        <v>0</v>
      </c>
      <c r="DF10" s="132">
        <v>0</v>
      </c>
      <c r="DG10" s="133">
        <v>-115.64</v>
      </c>
      <c r="DH10" s="16"/>
      <c r="DI10" s="16"/>
      <c r="DJ10" s="16"/>
      <c r="DK10" s="16"/>
      <c r="DL10" s="16"/>
    </row>
    <row r="11" spans="1:116" ht="12" customHeight="1">
      <c r="A11" s="105">
        <v>5</v>
      </c>
      <c r="B11" s="22" t="s">
        <v>47</v>
      </c>
      <c r="C11" s="23">
        <v>5</v>
      </c>
      <c r="D11" s="24">
        <v>667.5</v>
      </c>
      <c r="E11" s="29">
        <v>1958</v>
      </c>
      <c r="F11" s="30">
        <v>2</v>
      </c>
      <c r="G11" s="30">
        <v>2</v>
      </c>
      <c r="H11" s="30"/>
      <c r="I11" s="30">
        <v>12</v>
      </c>
      <c r="J11" s="30"/>
      <c r="K11" s="31">
        <v>71.4</v>
      </c>
      <c r="L11" s="32">
        <f>211+320</f>
        <v>531</v>
      </c>
      <c r="M11" s="33">
        <v>0</v>
      </c>
      <c r="N11" s="33">
        <v>0</v>
      </c>
      <c r="O11" s="33">
        <v>3851</v>
      </c>
      <c r="P11" s="30"/>
      <c r="Q11" s="106" t="s">
        <v>53</v>
      </c>
      <c r="R11" s="105">
        <v>5</v>
      </c>
      <c r="S11" s="22" t="s">
        <v>47</v>
      </c>
      <c r="T11" s="23">
        <v>5</v>
      </c>
      <c r="U11" s="34" t="s">
        <v>54</v>
      </c>
      <c r="V11" s="33">
        <v>565</v>
      </c>
      <c r="W11" s="25">
        <v>13.85</v>
      </c>
      <c r="X11" s="25">
        <v>108175.2</v>
      </c>
      <c r="Y11" s="25">
        <v>114454.03</v>
      </c>
      <c r="Z11" s="25">
        <f t="shared" si="2"/>
        <v>105.80431559174377</v>
      </c>
      <c r="AA11" s="25">
        <f t="shared" si="29"/>
        <v>-137879.70650323672</v>
      </c>
      <c r="AB11" s="25">
        <f t="shared" si="3"/>
        <v>252333.73650323672</v>
      </c>
      <c r="AC11" s="107">
        <f t="shared" si="4"/>
        <v>213842.1495790142</v>
      </c>
      <c r="AD11" s="105">
        <v>5</v>
      </c>
      <c r="AE11" s="22" t="s">
        <v>47</v>
      </c>
      <c r="AF11" s="23">
        <v>5</v>
      </c>
      <c r="AG11" s="108">
        <f t="shared" si="5"/>
        <v>70493.92182241246</v>
      </c>
      <c r="AH11" s="108">
        <f>0.74*82.25/79.4</f>
        <v>0.7665617128463476</v>
      </c>
      <c r="AI11" s="108">
        <f t="shared" si="6"/>
        <v>52865.82339798488</v>
      </c>
      <c r="AJ11" s="108">
        <f t="shared" si="30"/>
        <v>12745.906671278968</v>
      </c>
      <c r="AK11" s="108">
        <f t="shared" si="7"/>
        <v>65611.73006926385</v>
      </c>
      <c r="AL11" s="109">
        <f t="shared" si="8"/>
        <v>4882.191753148614</v>
      </c>
      <c r="AM11" s="105">
        <v>5</v>
      </c>
      <c r="AN11" s="22" t="s">
        <v>47</v>
      </c>
      <c r="AO11" s="23">
        <v>5</v>
      </c>
      <c r="AP11" s="24">
        <f t="shared" si="9"/>
        <v>75921.30816283944</v>
      </c>
      <c r="AQ11" s="24">
        <f>0.248+0.018</f>
        <v>0.266</v>
      </c>
      <c r="AR11" s="24">
        <f t="shared" si="10"/>
        <v>35044.67409731438</v>
      </c>
      <c r="AS11" s="24">
        <f t="shared" si="11"/>
        <v>9465.719929857823</v>
      </c>
      <c r="AT11" s="110">
        <v>15478.03</v>
      </c>
      <c r="AU11" s="60">
        <f t="shared" si="0"/>
        <v>574.3160765806444</v>
      </c>
      <c r="AV11" s="105">
        <v>5</v>
      </c>
      <c r="AW11" s="22" t="s">
        <v>47</v>
      </c>
      <c r="AX11" s="23">
        <v>5</v>
      </c>
      <c r="AY11" s="14">
        <f t="shared" si="12"/>
        <v>5275.04</v>
      </c>
      <c r="AZ11" s="14">
        <v>5275.04</v>
      </c>
      <c r="BA11" s="14"/>
      <c r="BB11" s="14"/>
      <c r="BC11" s="25">
        <f t="shared" si="13"/>
        <v>0.03569069850087401</v>
      </c>
      <c r="BD11" s="25">
        <f t="shared" si="14"/>
        <v>5730.503515552032</v>
      </c>
      <c r="BE11" s="24">
        <f t="shared" si="15"/>
        <v>1514.653186665343</v>
      </c>
      <c r="BF11" s="111">
        <f t="shared" si="16"/>
        <v>2838.3713568692165</v>
      </c>
      <c r="BG11" s="105">
        <v>5</v>
      </c>
      <c r="BH11" s="22" t="s">
        <v>47</v>
      </c>
      <c r="BI11" s="23">
        <v>5</v>
      </c>
      <c r="BJ11" s="24">
        <f t="shared" si="17"/>
        <v>8665.17675534335</v>
      </c>
      <c r="BK11" s="24"/>
      <c r="BL11" s="14">
        <f t="shared" si="18"/>
        <v>324.46790381783296</v>
      </c>
      <c r="BM11" s="24"/>
      <c r="BN11" s="24"/>
      <c r="BO11" s="24"/>
      <c r="BP11" s="35"/>
      <c r="BQ11" s="105">
        <v>5</v>
      </c>
      <c r="BR11" s="22" t="s">
        <v>47</v>
      </c>
      <c r="BS11" s="23">
        <v>5</v>
      </c>
      <c r="BT11" s="24">
        <f t="shared" si="31"/>
        <v>65.04812715964064</v>
      </c>
      <c r="BU11" s="2">
        <f>18.5*I11*4</f>
        <v>888</v>
      </c>
      <c r="BV11" s="24"/>
      <c r="BW11" s="24">
        <f t="shared" si="19"/>
        <v>1137.652662861506</v>
      </c>
      <c r="BX11" s="2">
        <v>4798</v>
      </c>
      <c r="BY11" s="35">
        <f t="shared" si="20"/>
        <v>1452.0080615043698</v>
      </c>
      <c r="BZ11" s="105">
        <v>5</v>
      </c>
      <c r="CA11" s="22" t="s">
        <v>47</v>
      </c>
      <c r="CB11" s="23">
        <v>5</v>
      </c>
      <c r="CC11" s="112">
        <f t="shared" si="1"/>
        <v>33317.92609553675</v>
      </c>
      <c r="CD11" s="112">
        <f t="shared" si="21"/>
        <v>0.12524190564852153</v>
      </c>
      <c r="CE11" s="108">
        <f t="shared" si="22"/>
        <v>23374.77143552729</v>
      </c>
      <c r="CF11" s="108">
        <f t="shared" si="23"/>
        <v>6419.370109116564</v>
      </c>
      <c r="CG11" s="108">
        <f t="shared" si="24"/>
        <v>3523.784550892895</v>
      </c>
      <c r="CH11" s="113">
        <f t="shared" si="25"/>
        <v>19165.113085923516</v>
      </c>
      <c r="CI11" s="114">
        <f t="shared" si="26"/>
        <v>2027.1004953096078</v>
      </c>
      <c r="CJ11" s="114">
        <f t="shared" si="27"/>
        <v>4106.079886793042</v>
      </c>
      <c r="CK11" s="115">
        <f t="shared" si="28"/>
        <v>145.52327485600134</v>
      </c>
      <c r="CL11" s="105">
        <v>5</v>
      </c>
      <c r="CM11" s="22" t="s">
        <v>47</v>
      </c>
      <c r="CN11" s="23">
        <v>5</v>
      </c>
      <c r="CO11" s="116">
        <v>33481.8</v>
      </c>
      <c r="CP11" s="117">
        <v>31239.07</v>
      </c>
      <c r="CQ11" s="118"/>
      <c r="CR11" s="105">
        <v>5</v>
      </c>
      <c r="CS11" s="22" t="s">
        <v>47</v>
      </c>
      <c r="CT11" s="23">
        <v>5</v>
      </c>
      <c r="CU11" s="119">
        <v>0</v>
      </c>
      <c r="CV11" s="113">
        <v>0</v>
      </c>
      <c r="CW11" s="113">
        <v>-425.52</v>
      </c>
      <c r="CX11" s="27"/>
      <c r="CY11" s="26"/>
      <c r="CZ11" s="63"/>
      <c r="DA11" s="60"/>
      <c r="DB11" s="105">
        <v>5</v>
      </c>
      <c r="DC11" s="22" t="s">
        <v>47</v>
      </c>
      <c r="DD11" s="23">
        <v>5</v>
      </c>
      <c r="DE11" s="113">
        <v>0</v>
      </c>
      <c r="DF11" s="120">
        <v>0</v>
      </c>
      <c r="DG11" s="121">
        <v>-262.15</v>
      </c>
      <c r="DH11" s="28"/>
      <c r="DI11" s="28"/>
      <c r="DJ11" s="28"/>
      <c r="DK11" s="28"/>
      <c r="DL11" s="28"/>
    </row>
    <row r="12" spans="1:116" ht="12" customHeight="1">
      <c r="A12" s="122">
        <v>6</v>
      </c>
      <c r="B12" s="5" t="s">
        <v>47</v>
      </c>
      <c r="C12" s="6" t="s">
        <v>56</v>
      </c>
      <c r="D12" s="2">
        <v>2378.9</v>
      </c>
      <c r="E12" s="36">
        <v>1962</v>
      </c>
      <c r="F12" s="37">
        <v>4</v>
      </c>
      <c r="G12" s="37">
        <v>4</v>
      </c>
      <c r="H12" s="37"/>
      <c r="I12" s="37">
        <v>60</v>
      </c>
      <c r="J12" s="37"/>
      <c r="K12" s="38">
        <v>205.1</v>
      </c>
      <c r="L12" s="39">
        <v>918</v>
      </c>
      <c r="M12" s="40">
        <v>0</v>
      </c>
      <c r="N12" s="40">
        <v>0</v>
      </c>
      <c r="O12" s="40">
        <v>206</v>
      </c>
      <c r="P12" s="37"/>
      <c r="Q12" s="123" t="s">
        <v>51</v>
      </c>
      <c r="R12" s="122">
        <v>6</v>
      </c>
      <c r="S12" s="5" t="s">
        <v>47</v>
      </c>
      <c r="T12" s="6" t="s">
        <v>56</v>
      </c>
      <c r="U12" s="41" t="s">
        <v>52</v>
      </c>
      <c r="V12" s="40">
        <v>1094</v>
      </c>
      <c r="W12" s="3">
        <v>20.6</v>
      </c>
      <c r="X12" s="3">
        <v>571650.48</v>
      </c>
      <c r="Y12" s="3">
        <v>569474.94</v>
      </c>
      <c r="Z12" s="3">
        <f t="shared" si="2"/>
        <v>99.61942829121739</v>
      </c>
      <c r="AA12" s="3">
        <f t="shared" si="29"/>
        <v>895.4418859794969</v>
      </c>
      <c r="AB12" s="3">
        <f t="shared" si="3"/>
        <v>568579.4981140204</v>
      </c>
      <c r="AC12" s="107">
        <f t="shared" si="4"/>
        <v>481847.03230001737</v>
      </c>
      <c r="AD12" s="122">
        <v>6</v>
      </c>
      <c r="AE12" s="5" t="s">
        <v>47</v>
      </c>
      <c r="AF12" s="6" t="s">
        <v>56</v>
      </c>
      <c r="AG12" s="124">
        <f t="shared" si="5"/>
        <v>50488.889953890015</v>
      </c>
      <c r="AH12" s="124">
        <f>0.53*82.25/79.4</f>
        <v>0.5490239294710327</v>
      </c>
      <c r="AI12" s="108">
        <f t="shared" si="6"/>
        <v>37863.36000125945</v>
      </c>
      <c r="AJ12" s="108">
        <f t="shared" si="30"/>
        <v>9128.825048348452</v>
      </c>
      <c r="AK12" s="124">
        <f t="shared" si="7"/>
        <v>46992.1850496079</v>
      </c>
      <c r="AL12" s="109">
        <f t="shared" si="8"/>
        <v>3496.7049042821154</v>
      </c>
      <c r="AM12" s="122">
        <v>6</v>
      </c>
      <c r="AN12" s="5" t="s">
        <v>47</v>
      </c>
      <c r="AO12" s="6" t="s">
        <v>56</v>
      </c>
      <c r="AP12" s="2">
        <f t="shared" si="9"/>
        <v>199008.40368500928</v>
      </c>
      <c r="AQ12" s="2">
        <f>0.836+0.018</f>
        <v>0.854</v>
      </c>
      <c r="AR12" s="24">
        <f t="shared" si="10"/>
        <v>112511.84841769353</v>
      </c>
      <c r="AS12" s="24">
        <f t="shared" si="11"/>
        <v>30389.942932701426</v>
      </c>
      <c r="AT12" s="110">
        <v>15874.64</v>
      </c>
      <c r="AU12" s="60">
        <f t="shared" si="0"/>
        <v>1867.8657806650986</v>
      </c>
      <c r="AV12" s="122">
        <v>6</v>
      </c>
      <c r="AW12" s="5" t="s">
        <v>47</v>
      </c>
      <c r="AX12" s="6" t="s">
        <v>56</v>
      </c>
      <c r="AY12" s="14">
        <f t="shared" si="12"/>
        <v>2427.47</v>
      </c>
      <c r="AZ12" s="2">
        <v>2427.47</v>
      </c>
      <c r="BA12" s="3"/>
      <c r="BB12" s="3"/>
      <c r="BC12" s="25">
        <f t="shared" si="13"/>
        <v>0.12719790661232835</v>
      </c>
      <c r="BD12" s="25">
        <f t="shared" si="14"/>
        <v>20422.913577747906</v>
      </c>
      <c r="BE12" s="24">
        <f t="shared" si="15"/>
        <v>5398.065117240725</v>
      </c>
      <c r="BF12" s="111">
        <f t="shared" si="16"/>
        <v>10115.657858960569</v>
      </c>
      <c r="BG12" s="122">
        <v>6</v>
      </c>
      <c r="BH12" s="5" t="s">
        <v>47</v>
      </c>
      <c r="BI12" s="6" t="s">
        <v>56</v>
      </c>
      <c r="BJ12" s="24">
        <f t="shared" si="17"/>
        <v>22929.049465140863</v>
      </c>
      <c r="BK12" s="24"/>
      <c r="BL12" s="14">
        <f t="shared" si="18"/>
        <v>1156.3695826101016</v>
      </c>
      <c r="BM12" s="2"/>
      <c r="BN12" s="2"/>
      <c r="BO12" s="2"/>
      <c r="BP12" s="42"/>
      <c r="BQ12" s="122">
        <v>6</v>
      </c>
      <c r="BR12" s="5" t="s">
        <v>47</v>
      </c>
      <c r="BS12" s="6" t="s">
        <v>56</v>
      </c>
      <c r="BT12" s="2">
        <f t="shared" si="31"/>
        <v>325.2406357982032</v>
      </c>
      <c r="BU12" s="2">
        <f>18.5*I12*4</f>
        <v>4440</v>
      </c>
      <c r="BV12" s="2">
        <v>7778.16</v>
      </c>
      <c r="BW12" s="24">
        <f t="shared" si="19"/>
        <v>4054.4747860393063</v>
      </c>
      <c r="BX12" s="2"/>
      <c r="BY12" s="35">
        <f t="shared" si="20"/>
        <v>5174.804460693252</v>
      </c>
      <c r="BZ12" s="122">
        <v>6</v>
      </c>
      <c r="CA12" s="5" t="s">
        <v>47</v>
      </c>
      <c r="CB12" s="6" t="s">
        <v>56</v>
      </c>
      <c r="CC12" s="125">
        <f t="shared" si="1"/>
        <v>118741.59458977132</v>
      </c>
      <c r="CD12" s="112">
        <f t="shared" si="21"/>
        <v>0.4463490177487159</v>
      </c>
      <c r="CE12" s="108">
        <f t="shared" si="22"/>
        <v>83305.23410932714</v>
      </c>
      <c r="CF12" s="108">
        <f t="shared" si="23"/>
        <v>22877.96187652044</v>
      </c>
      <c r="CG12" s="108">
        <f t="shared" si="24"/>
        <v>12558.398603923755</v>
      </c>
      <c r="CH12" s="113">
        <f t="shared" si="25"/>
        <v>68302.45321363813</v>
      </c>
      <c r="CI12" s="114">
        <f t="shared" si="26"/>
        <v>7224.373585456219</v>
      </c>
      <c r="CJ12" s="114">
        <f t="shared" si="27"/>
        <v>14633.63811639246</v>
      </c>
      <c r="CK12" s="115">
        <f t="shared" si="28"/>
        <v>518.6296907190136</v>
      </c>
      <c r="CL12" s="122">
        <v>6</v>
      </c>
      <c r="CM12" s="5" t="s">
        <v>47</v>
      </c>
      <c r="CN12" s="6" t="s">
        <v>56</v>
      </c>
      <c r="CO12" s="126">
        <v>119325.72</v>
      </c>
      <c r="CP12" s="127">
        <v>115331.57</v>
      </c>
      <c r="CQ12" s="128"/>
      <c r="CR12" s="122">
        <v>6</v>
      </c>
      <c r="CS12" s="5" t="s">
        <v>47</v>
      </c>
      <c r="CT12" s="6" t="s">
        <v>56</v>
      </c>
      <c r="CU12" s="129">
        <v>1.37</v>
      </c>
      <c r="CV12" s="130">
        <v>13440.93</v>
      </c>
      <c r="CW12" s="130">
        <v>15123.17</v>
      </c>
      <c r="CX12" s="12"/>
      <c r="CY12" s="8"/>
      <c r="CZ12" s="64"/>
      <c r="DA12" s="61"/>
      <c r="DB12" s="122">
        <v>6</v>
      </c>
      <c r="DC12" s="5" t="s">
        <v>47</v>
      </c>
      <c r="DD12" s="6" t="s">
        <v>56</v>
      </c>
      <c r="DE12" s="131">
        <v>1.04</v>
      </c>
      <c r="DF12" s="132">
        <v>6468.33</v>
      </c>
      <c r="DG12" s="133">
        <v>5349.51</v>
      </c>
      <c r="DH12" s="16"/>
      <c r="DI12" s="16"/>
      <c r="DJ12" s="16"/>
      <c r="DK12" s="16"/>
      <c r="DL12" s="16"/>
    </row>
    <row r="13" spans="1:116" ht="12" customHeight="1">
      <c r="A13" s="122">
        <v>7</v>
      </c>
      <c r="B13" s="5" t="s">
        <v>47</v>
      </c>
      <c r="C13" s="6" t="s">
        <v>57</v>
      </c>
      <c r="D13" s="3">
        <v>20499.3</v>
      </c>
      <c r="E13" s="44" t="s">
        <v>58</v>
      </c>
      <c r="F13" s="37">
        <v>8</v>
      </c>
      <c r="G13" s="37">
        <v>9</v>
      </c>
      <c r="H13" s="37">
        <v>8</v>
      </c>
      <c r="I13" s="37">
        <v>393</v>
      </c>
      <c r="J13" s="37"/>
      <c r="K13" s="45">
        <v>2730.2</v>
      </c>
      <c r="L13" s="39">
        <f>1671+586</f>
        <v>2257</v>
      </c>
      <c r="M13" s="40">
        <v>0</v>
      </c>
      <c r="N13" s="40">
        <v>455</v>
      </c>
      <c r="O13" s="40">
        <v>4131</v>
      </c>
      <c r="P13" s="37"/>
      <c r="Q13" s="123" t="s">
        <v>51</v>
      </c>
      <c r="R13" s="122">
        <v>7</v>
      </c>
      <c r="S13" s="5" t="s">
        <v>47</v>
      </c>
      <c r="T13" s="6" t="s">
        <v>57</v>
      </c>
      <c r="U13" s="41" t="s">
        <v>49</v>
      </c>
      <c r="V13" s="40">
        <v>4012</v>
      </c>
      <c r="W13" s="3">
        <v>26.34</v>
      </c>
      <c r="X13" s="3">
        <v>6318661.61</v>
      </c>
      <c r="Y13" s="3">
        <v>6344012.32</v>
      </c>
      <c r="Z13" s="3">
        <f t="shared" si="2"/>
        <v>100.40120379226956</v>
      </c>
      <c r="AA13" s="3">
        <f t="shared" si="29"/>
        <v>521738.40185620636</v>
      </c>
      <c r="AB13" s="3">
        <f t="shared" si="3"/>
        <v>5822273.918143794</v>
      </c>
      <c r="AC13" s="107">
        <f t="shared" si="4"/>
        <v>4934130.43910491</v>
      </c>
      <c r="AD13" s="122">
        <v>7</v>
      </c>
      <c r="AE13" s="5" t="s">
        <v>47</v>
      </c>
      <c r="AF13" s="6" t="s">
        <v>57</v>
      </c>
      <c r="AG13" s="124">
        <f t="shared" si="5"/>
        <v>400100.63737044914</v>
      </c>
      <c r="AH13" s="124">
        <f>4.2*82.25/79.4</f>
        <v>4.350755667506297</v>
      </c>
      <c r="AI13" s="108">
        <f t="shared" si="6"/>
        <v>300049.2679345088</v>
      </c>
      <c r="AJ13" s="108">
        <f t="shared" si="30"/>
        <v>72341.63245861037</v>
      </c>
      <c r="AK13" s="124">
        <f t="shared" si="7"/>
        <v>372390.9003931192</v>
      </c>
      <c r="AL13" s="109">
        <f t="shared" si="8"/>
        <v>27709.736977329972</v>
      </c>
      <c r="AM13" s="122">
        <v>7</v>
      </c>
      <c r="AN13" s="5" t="s">
        <v>47</v>
      </c>
      <c r="AO13" s="6" t="s">
        <v>57</v>
      </c>
      <c r="AP13" s="10">
        <f t="shared" si="9"/>
        <v>1755425.3623835423</v>
      </c>
      <c r="AQ13" s="2">
        <f>6.145+0.02</f>
        <v>6.164999999999999</v>
      </c>
      <c r="AR13" s="24">
        <f t="shared" si="10"/>
        <v>812219.6083080568</v>
      </c>
      <c r="AS13" s="24">
        <f t="shared" si="11"/>
        <v>219384.07281042656</v>
      </c>
      <c r="AT13" s="110">
        <v>360758.68</v>
      </c>
      <c r="AU13" s="60">
        <f t="shared" si="0"/>
        <v>13822.619667105952</v>
      </c>
      <c r="AV13" s="122">
        <v>7</v>
      </c>
      <c r="AW13" s="5" t="s">
        <v>47</v>
      </c>
      <c r="AX13" s="6" t="s">
        <v>57</v>
      </c>
      <c r="AY13" s="14">
        <f t="shared" si="12"/>
        <v>39569.57</v>
      </c>
      <c r="AZ13" s="2">
        <v>1500.75</v>
      </c>
      <c r="BA13" s="2">
        <v>38068.82</v>
      </c>
      <c r="BB13" s="2"/>
      <c r="BC13" s="25">
        <f t="shared" si="13"/>
        <v>1.0960814019160547</v>
      </c>
      <c r="BD13" s="25">
        <f t="shared" si="14"/>
        <v>175986.9823466004</v>
      </c>
      <c r="BE13" s="24">
        <f t="shared" si="15"/>
        <v>46515.850291249226</v>
      </c>
      <c r="BF13" s="111">
        <f t="shared" si="16"/>
        <v>87167.97896010356</v>
      </c>
      <c r="BG13" s="122">
        <v>7</v>
      </c>
      <c r="BH13" s="5" t="s">
        <v>47</v>
      </c>
      <c r="BI13" s="6" t="s">
        <v>57</v>
      </c>
      <c r="BJ13" s="24">
        <f t="shared" si="17"/>
        <v>973998.3045679956</v>
      </c>
      <c r="BK13" s="24">
        <v>1399.65</v>
      </c>
      <c r="BL13" s="14">
        <f t="shared" si="18"/>
        <v>9964.591611584874</v>
      </c>
      <c r="BM13" s="2">
        <f>28000/37*8</f>
        <v>6054.054054054054</v>
      </c>
      <c r="BN13" s="2">
        <f>141316.88/37*8</f>
        <v>30555.00108108108</v>
      </c>
      <c r="BO13" s="2">
        <f>35936.8/37*8</f>
        <v>7770.11891891892</v>
      </c>
      <c r="BP13" s="42">
        <f>3713050.58/37*8</f>
        <v>802821.7470270271</v>
      </c>
      <c r="BQ13" s="122">
        <v>7</v>
      </c>
      <c r="BR13" s="5" t="s">
        <v>47</v>
      </c>
      <c r="BS13" s="6" t="s">
        <v>57</v>
      </c>
      <c r="BT13" s="2">
        <f t="shared" si="31"/>
        <v>2130.326164478231</v>
      </c>
      <c r="BU13" s="2"/>
      <c r="BV13" s="2"/>
      <c r="BW13" s="24">
        <f t="shared" si="19"/>
        <v>34937.95240718632</v>
      </c>
      <c r="BX13" s="2">
        <v>33772.88</v>
      </c>
      <c r="BY13" s="35">
        <f t="shared" si="20"/>
        <v>44591.98330366521</v>
      </c>
      <c r="BZ13" s="122">
        <v>7</v>
      </c>
      <c r="CA13" s="5" t="s">
        <v>47</v>
      </c>
      <c r="CB13" s="6" t="s">
        <v>57</v>
      </c>
      <c r="CC13" s="125">
        <f t="shared" si="1"/>
        <v>1023212.2283299421</v>
      </c>
      <c r="CD13" s="112">
        <f t="shared" si="21"/>
        <v>3.8462492830872463</v>
      </c>
      <c r="CE13" s="108">
        <f t="shared" si="22"/>
        <v>717852.3626791078</v>
      </c>
      <c r="CF13" s="108">
        <f t="shared" si="23"/>
        <v>197142.46243867138</v>
      </c>
      <c r="CG13" s="108">
        <f t="shared" si="24"/>
        <v>108217.40321216286</v>
      </c>
      <c r="CH13" s="113">
        <f t="shared" si="25"/>
        <v>588571.3897861752</v>
      </c>
      <c r="CI13" s="114">
        <f t="shared" si="26"/>
        <v>62253.39503146104</v>
      </c>
      <c r="CJ13" s="114">
        <f t="shared" si="27"/>
        <v>126100.02010986756</v>
      </c>
      <c r="CK13" s="135">
        <f t="shared" si="28"/>
        <v>4469.101525476596</v>
      </c>
      <c r="CL13" s="122">
        <v>7</v>
      </c>
      <c r="CM13" s="5" t="s">
        <v>47</v>
      </c>
      <c r="CN13" s="6" t="s">
        <v>57</v>
      </c>
      <c r="CO13" s="136">
        <v>1028107.93</v>
      </c>
      <c r="CP13" s="127">
        <v>998298.38</v>
      </c>
      <c r="CQ13" s="128"/>
      <c r="CR13" s="122">
        <v>7</v>
      </c>
      <c r="CS13" s="5" t="s">
        <v>47</v>
      </c>
      <c r="CT13" s="6" t="s">
        <v>57</v>
      </c>
      <c r="CU13" s="129">
        <v>1.37</v>
      </c>
      <c r="CV13" s="130">
        <v>124739.37</v>
      </c>
      <c r="CW13" s="130">
        <v>131946.75</v>
      </c>
      <c r="CX13" s="12" t="s">
        <v>125</v>
      </c>
      <c r="CY13" s="8">
        <v>84286</v>
      </c>
      <c r="CZ13" s="64"/>
      <c r="DA13" s="61"/>
      <c r="DB13" s="122">
        <v>7</v>
      </c>
      <c r="DC13" s="5" t="s">
        <v>47</v>
      </c>
      <c r="DD13" s="6" t="s">
        <v>57</v>
      </c>
      <c r="DE13" s="131">
        <v>1.31</v>
      </c>
      <c r="DF13" s="132">
        <v>71972.18</v>
      </c>
      <c r="DG13" s="133">
        <v>71666.76</v>
      </c>
      <c r="DH13" s="16"/>
      <c r="DI13" s="16"/>
      <c r="DJ13" s="16"/>
      <c r="DK13" s="16"/>
      <c r="DL13" s="16"/>
    </row>
    <row r="14" spans="1:116" ht="12" customHeight="1">
      <c r="A14" s="122">
        <v>8</v>
      </c>
      <c r="B14" s="5" t="s">
        <v>47</v>
      </c>
      <c r="C14" s="6">
        <v>11</v>
      </c>
      <c r="D14" s="2">
        <v>3035.1</v>
      </c>
      <c r="E14" s="36">
        <v>1968</v>
      </c>
      <c r="F14" s="37">
        <v>4</v>
      </c>
      <c r="G14" s="37">
        <v>5</v>
      </c>
      <c r="H14" s="37"/>
      <c r="I14" s="37">
        <v>67</v>
      </c>
      <c r="J14" s="37"/>
      <c r="K14" s="38">
        <v>325.9</v>
      </c>
      <c r="L14" s="39">
        <v>1387.8</v>
      </c>
      <c r="M14" s="40">
        <v>0</v>
      </c>
      <c r="N14" s="40">
        <v>1200</v>
      </c>
      <c r="O14" s="40">
        <v>1007.2</v>
      </c>
      <c r="P14" s="37"/>
      <c r="Q14" s="123" t="s">
        <v>51</v>
      </c>
      <c r="R14" s="122">
        <v>8</v>
      </c>
      <c r="S14" s="5" t="s">
        <v>47</v>
      </c>
      <c r="T14" s="6">
        <v>11</v>
      </c>
      <c r="U14" s="41" t="s">
        <v>52</v>
      </c>
      <c r="V14" s="40">
        <v>1101</v>
      </c>
      <c r="W14" s="3">
        <v>20.6</v>
      </c>
      <c r="X14" s="3">
        <v>729277.11</v>
      </c>
      <c r="Y14" s="3">
        <v>713416.81</v>
      </c>
      <c r="Z14" s="3">
        <f t="shared" si="2"/>
        <v>97.82520254886377</v>
      </c>
      <c r="AA14" s="3">
        <f t="shared" si="29"/>
        <v>-143743.5073520313</v>
      </c>
      <c r="AB14" s="3">
        <f t="shared" si="3"/>
        <v>857160.3173520314</v>
      </c>
      <c r="AC14" s="107">
        <f t="shared" si="4"/>
        <v>726407.0486034164</v>
      </c>
      <c r="AD14" s="122">
        <v>8</v>
      </c>
      <c r="AE14" s="5" t="s">
        <v>47</v>
      </c>
      <c r="AF14" s="6">
        <v>11</v>
      </c>
      <c r="AG14" s="124">
        <f t="shared" si="5"/>
        <v>136224.74081898623</v>
      </c>
      <c r="AH14" s="124">
        <f>1.43*82.25/79.4</f>
        <v>1.481328715365239</v>
      </c>
      <c r="AI14" s="108">
        <f t="shared" si="6"/>
        <v>102159.63170151132</v>
      </c>
      <c r="AJ14" s="108">
        <f t="shared" si="30"/>
        <v>24630.603432336386</v>
      </c>
      <c r="AK14" s="124">
        <f t="shared" si="7"/>
        <v>126790.2351338477</v>
      </c>
      <c r="AL14" s="109">
        <f t="shared" si="8"/>
        <v>9434.505685138536</v>
      </c>
      <c r="AM14" s="122">
        <v>8</v>
      </c>
      <c r="AN14" s="5" t="s">
        <v>47</v>
      </c>
      <c r="AO14" s="6">
        <v>11</v>
      </c>
      <c r="AP14" s="2">
        <f t="shared" si="9"/>
        <v>301519.8738111064</v>
      </c>
      <c r="AQ14" s="2">
        <f>1.024+0.018</f>
        <v>1.042</v>
      </c>
      <c r="AR14" s="24">
        <f t="shared" si="10"/>
        <v>137280.26469699843</v>
      </c>
      <c r="AS14" s="24">
        <f t="shared" si="11"/>
        <v>37080.00062748816</v>
      </c>
      <c r="AT14" s="110">
        <v>79017.6</v>
      </c>
      <c r="AU14" s="60">
        <f t="shared" si="0"/>
        <v>2292.546296157285</v>
      </c>
      <c r="AV14" s="122">
        <v>8</v>
      </c>
      <c r="AW14" s="5" t="s">
        <v>47</v>
      </c>
      <c r="AX14" s="6">
        <v>11</v>
      </c>
      <c r="AY14" s="14">
        <f t="shared" si="12"/>
        <v>0</v>
      </c>
      <c r="AZ14" s="7"/>
      <c r="BA14" s="2"/>
      <c r="BB14" s="2"/>
      <c r="BC14" s="25">
        <f t="shared" si="13"/>
        <v>0.16228440302622127</v>
      </c>
      <c r="BD14" s="25">
        <f t="shared" si="14"/>
        <v>26056.406322175237</v>
      </c>
      <c r="BE14" s="24">
        <f t="shared" si="15"/>
        <v>6887.07698404192</v>
      </c>
      <c r="BF14" s="111">
        <f t="shared" si="16"/>
        <v>12905.97888424533</v>
      </c>
      <c r="BG14" s="122">
        <v>8</v>
      </c>
      <c r="BH14" s="5" t="s">
        <v>47</v>
      </c>
      <c r="BI14" s="6">
        <v>11</v>
      </c>
      <c r="BJ14" s="24">
        <f t="shared" si="17"/>
        <v>21474.77001993777</v>
      </c>
      <c r="BK14" s="24"/>
      <c r="BL14" s="14">
        <f t="shared" si="18"/>
        <v>1475.344621539333</v>
      </c>
      <c r="BM14" s="2"/>
      <c r="BN14" s="2"/>
      <c r="BO14" s="2"/>
      <c r="BP14" s="42"/>
      <c r="BQ14" s="122">
        <v>8</v>
      </c>
      <c r="BR14" s="5" t="s">
        <v>47</v>
      </c>
      <c r="BS14" s="6">
        <v>11</v>
      </c>
      <c r="BT14" s="2">
        <f t="shared" si="31"/>
        <v>363.1853766413269</v>
      </c>
      <c r="BU14" s="2"/>
      <c r="BV14" s="2">
        <v>7861.14</v>
      </c>
      <c r="BW14" s="24">
        <f t="shared" si="19"/>
        <v>5172.8683101887</v>
      </c>
      <c r="BX14" s="2"/>
      <c r="BY14" s="35">
        <f t="shared" si="20"/>
        <v>6602.231711568409</v>
      </c>
      <c r="BZ14" s="122">
        <v>8</v>
      </c>
      <c r="CA14" s="5" t="s">
        <v>47</v>
      </c>
      <c r="CB14" s="6">
        <v>11</v>
      </c>
      <c r="CC14" s="125">
        <f t="shared" si="1"/>
        <v>151495.48688024504</v>
      </c>
      <c r="CD14" s="112">
        <f t="shared" si="21"/>
        <v>0.5694707233465582</v>
      </c>
      <c r="CE14" s="108">
        <f t="shared" si="22"/>
        <v>106284.29780369868</v>
      </c>
      <c r="CF14" s="108">
        <f t="shared" si="23"/>
        <v>29188.659502890907</v>
      </c>
      <c r="CG14" s="108">
        <f t="shared" si="24"/>
        <v>16022.529573655465</v>
      </c>
      <c r="CH14" s="113">
        <f t="shared" si="25"/>
        <v>87143.1231866464</v>
      </c>
      <c r="CI14" s="114">
        <f t="shared" si="26"/>
        <v>9217.157622942608</v>
      </c>
      <c r="CJ14" s="114">
        <f t="shared" si="27"/>
        <v>18670.206838060763</v>
      </c>
      <c r="CK14" s="115">
        <f t="shared" si="28"/>
        <v>661.6894254913103</v>
      </c>
      <c r="CL14" s="122">
        <v>8</v>
      </c>
      <c r="CM14" s="5" t="s">
        <v>47</v>
      </c>
      <c r="CN14" s="6">
        <v>11</v>
      </c>
      <c r="CO14" s="126">
        <v>152228.82</v>
      </c>
      <c r="CP14" s="127">
        <v>145738.25</v>
      </c>
      <c r="CQ14" s="128"/>
      <c r="CR14" s="122">
        <v>8</v>
      </c>
      <c r="CS14" s="5" t="s">
        <v>47</v>
      </c>
      <c r="CT14" s="6">
        <v>11</v>
      </c>
      <c r="CU14" s="129">
        <v>1.37</v>
      </c>
      <c r="CV14" s="130">
        <v>15771.9</v>
      </c>
      <c r="CW14" s="130">
        <v>17885.6</v>
      </c>
      <c r="CX14" s="12" t="s">
        <v>127</v>
      </c>
      <c r="CY14" s="8"/>
      <c r="CZ14" s="64">
        <v>113534</v>
      </c>
      <c r="DA14" s="61"/>
      <c r="DB14" s="122">
        <v>8</v>
      </c>
      <c r="DC14" s="5" t="s">
        <v>47</v>
      </c>
      <c r="DD14" s="6">
        <v>11</v>
      </c>
      <c r="DE14" s="131">
        <v>1.04</v>
      </c>
      <c r="DF14" s="132">
        <v>10565.19</v>
      </c>
      <c r="DG14" s="133">
        <v>9457.59</v>
      </c>
      <c r="DH14" s="16"/>
      <c r="DI14" s="16"/>
      <c r="DJ14" s="16"/>
      <c r="DK14" s="16"/>
      <c r="DL14" s="16"/>
    </row>
    <row r="15" spans="1:116" ht="12" customHeight="1">
      <c r="A15" s="122">
        <v>9</v>
      </c>
      <c r="B15" s="5" t="s">
        <v>47</v>
      </c>
      <c r="C15" s="6" t="s">
        <v>59</v>
      </c>
      <c r="D15" s="2">
        <v>3101.1</v>
      </c>
      <c r="E15" s="36">
        <v>1968</v>
      </c>
      <c r="F15" s="37">
        <v>4</v>
      </c>
      <c r="G15" s="37">
        <v>5</v>
      </c>
      <c r="H15" s="37"/>
      <c r="I15" s="37">
        <v>69</v>
      </c>
      <c r="J15" s="37"/>
      <c r="K15" s="38">
        <v>324</v>
      </c>
      <c r="L15" s="39">
        <f>372+524</f>
        <v>896</v>
      </c>
      <c r="M15" s="40">
        <v>0</v>
      </c>
      <c r="N15" s="40">
        <v>0</v>
      </c>
      <c r="O15" s="40">
        <v>2669</v>
      </c>
      <c r="P15" s="37"/>
      <c r="Q15" s="123" t="s">
        <v>51</v>
      </c>
      <c r="R15" s="122">
        <v>9</v>
      </c>
      <c r="S15" s="5" t="s">
        <v>47</v>
      </c>
      <c r="T15" s="6" t="s">
        <v>59</v>
      </c>
      <c r="U15" s="41" t="s">
        <v>52</v>
      </c>
      <c r="V15" s="40">
        <v>1088</v>
      </c>
      <c r="W15" s="3">
        <v>20.6</v>
      </c>
      <c r="X15" s="3">
        <v>745217.32</v>
      </c>
      <c r="Y15" s="3">
        <v>793699.91</v>
      </c>
      <c r="Z15" s="3">
        <f t="shared" si="2"/>
        <v>106.50583241946123</v>
      </c>
      <c r="AA15" s="3">
        <f t="shared" si="29"/>
        <v>4155.1178523245035</v>
      </c>
      <c r="AB15" s="3">
        <f t="shared" si="3"/>
        <v>789544.7921476755</v>
      </c>
      <c r="AC15" s="107">
        <f t="shared" si="4"/>
        <v>669105.7560573522</v>
      </c>
      <c r="AD15" s="122">
        <v>9</v>
      </c>
      <c r="AE15" s="5" t="s">
        <v>47</v>
      </c>
      <c r="AF15" s="6" t="s">
        <v>59</v>
      </c>
      <c r="AG15" s="124">
        <f t="shared" si="5"/>
        <v>94309.43595160586</v>
      </c>
      <c r="AH15" s="124">
        <f>0.99*82.25/79.4</f>
        <v>1.025535264483627</v>
      </c>
      <c r="AI15" s="108">
        <f t="shared" si="6"/>
        <v>70725.89887027707</v>
      </c>
      <c r="AJ15" s="108">
        <f t="shared" si="30"/>
        <v>17051.95622238673</v>
      </c>
      <c r="AK15" s="124">
        <f t="shared" si="7"/>
        <v>87777.8550926638</v>
      </c>
      <c r="AL15" s="109">
        <f t="shared" si="8"/>
        <v>6531.580858942064</v>
      </c>
      <c r="AM15" s="122">
        <v>9</v>
      </c>
      <c r="AN15" s="5" t="s">
        <v>47</v>
      </c>
      <c r="AO15" s="6" t="s">
        <v>59</v>
      </c>
      <c r="AP15" s="2">
        <f t="shared" si="9"/>
        <v>287885.8963632204</v>
      </c>
      <c r="AQ15" s="2">
        <f>1.036+0.018</f>
        <v>1.054</v>
      </c>
      <c r="AR15" s="24">
        <f t="shared" si="10"/>
        <v>138861.22743823068</v>
      </c>
      <c r="AS15" s="24">
        <f t="shared" si="11"/>
        <v>37507.02558672987</v>
      </c>
      <c r="AT15" s="110">
        <v>62349.05</v>
      </c>
      <c r="AU15" s="60">
        <f t="shared" si="0"/>
        <v>2322.108148696715</v>
      </c>
      <c r="AV15" s="122">
        <v>9</v>
      </c>
      <c r="AW15" s="5" t="s">
        <v>47</v>
      </c>
      <c r="AX15" s="6" t="s">
        <v>59</v>
      </c>
      <c r="AY15" s="14">
        <f t="shared" si="12"/>
        <v>0</v>
      </c>
      <c r="AZ15" s="2"/>
      <c r="BA15" s="2"/>
      <c r="BB15" s="2"/>
      <c r="BC15" s="25">
        <f t="shared" si="13"/>
        <v>0.1658133709678807</v>
      </c>
      <c r="BD15" s="25">
        <f t="shared" si="14"/>
        <v>26623.017905735436</v>
      </c>
      <c r="BE15" s="24">
        <f t="shared" si="15"/>
        <v>7036.840445195347</v>
      </c>
      <c r="BF15" s="111">
        <f t="shared" si="16"/>
        <v>13186.626838632399</v>
      </c>
      <c r="BG15" s="122">
        <v>9</v>
      </c>
      <c r="BH15" s="5" t="s">
        <v>47</v>
      </c>
      <c r="BI15" s="6" t="s">
        <v>59</v>
      </c>
      <c r="BJ15" s="24">
        <f t="shared" si="17"/>
        <v>13912.609935453325</v>
      </c>
      <c r="BK15" s="24"/>
      <c r="BL15" s="14">
        <f t="shared" si="18"/>
        <v>1507.4268412426693</v>
      </c>
      <c r="BM15" s="2"/>
      <c r="BN15" s="2"/>
      <c r="BO15" s="2"/>
      <c r="BP15" s="42"/>
      <c r="BQ15" s="122">
        <v>9</v>
      </c>
      <c r="BR15" s="5" t="s">
        <v>47</v>
      </c>
      <c r="BS15" s="6" t="s">
        <v>59</v>
      </c>
      <c r="BT15" s="2">
        <f t="shared" si="31"/>
        <v>374.0267311679337</v>
      </c>
      <c r="BU15" s="2"/>
      <c r="BV15" s="2"/>
      <c r="BW15" s="24">
        <f t="shared" si="19"/>
        <v>5285.355315055905</v>
      </c>
      <c r="BX15" s="2"/>
      <c r="BY15" s="35">
        <f t="shared" si="20"/>
        <v>6745.801047986818</v>
      </c>
      <c r="BZ15" s="122">
        <v>9</v>
      </c>
      <c r="CA15" s="5" t="s">
        <v>47</v>
      </c>
      <c r="CB15" s="6" t="s">
        <v>59</v>
      </c>
      <c r="CC15" s="125">
        <f t="shared" si="1"/>
        <v>154789.8436177813</v>
      </c>
      <c r="CD15" s="112">
        <f t="shared" si="21"/>
        <v>0.5818541926691088</v>
      </c>
      <c r="CE15" s="108">
        <f t="shared" si="22"/>
        <v>108595.51115912161</v>
      </c>
      <c r="CF15" s="108">
        <f t="shared" si="23"/>
        <v>29823.383738399065</v>
      </c>
      <c r="CG15" s="108">
        <f t="shared" si="24"/>
        <v>16370.948720260607</v>
      </c>
      <c r="CH15" s="113">
        <f t="shared" si="25"/>
        <v>89038.10066031074</v>
      </c>
      <c r="CI15" s="114">
        <f t="shared" si="26"/>
        <v>9417.590031467602</v>
      </c>
      <c r="CJ15" s="114">
        <f t="shared" si="27"/>
        <v>19076.20125383356</v>
      </c>
      <c r="CK15" s="115">
        <f t="shared" si="28"/>
        <v>676.0782436793195</v>
      </c>
      <c r="CL15" s="122">
        <v>9</v>
      </c>
      <c r="CM15" s="5" t="s">
        <v>47</v>
      </c>
      <c r="CN15" s="6" t="s">
        <v>59</v>
      </c>
      <c r="CO15" s="126">
        <v>155555.8</v>
      </c>
      <c r="CP15" s="127">
        <v>153779.33</v>
      </c>
      <c r="CQ15" s="128"/>
      <c r="CR15" s="122">
        <v>9</v>
      </c>
      <c r="CS15" s="5" t="s">
        <v>47</v>
      </c>
      <c r="CT15" s="6" t="s">
        <v>59</v>
      </c>
      <c r="CU15" s="129">
        <v>1.37</v>
      </c>
      <c r="CV15" s="130">
        <v>19146.66</v>
      </c>
      <c r="CW15" s="130">
        <v>21535.34</v>
      </c>
      <c r="CX15" s="12" t="s">
        <v>127</v>
      </c>
      <c r="CY15" s="8"/>
      <c r="CZ15" s="64">
        <v>113534</v>
      </c>
      <c r="DA15" s="61"/>
      <c r="DB15" s="122">
        <v>9</v>
      </c>
      <c r="DC15" s="5" t="s">
        <v>47</v>
      </c>
      <c r="DD15" s="6" t="s">
        <v>59</v>
      </c>
      <c r="DE15" s="131">
        <v>1.04</v>
      </c>
      <c r="DF15" s="132">
        <v>7850.64</v>
      </c>
      <c r="DG15" s="133">
        <v>8244.5</v>
      </c>
      <c r="DH15" s="16"/>
      <c r="DI15" s="16"/>
      <c r="DJ15" s="16"/>
      <c r="DK15" s="16"/>
      <c r="DL15" s="16"/>
    </row>
    <row r="16" spans="1:116" ht="12" customHeight="1">
      <c r="A16" s="122">
        <v>10</v>
      </c>
      <c r="B16" s="5" t="s">
        <v>47</v>
      </c>
      <c r="C16" s="11" t="s">
        <v>60</v>
      </c>
      <c r="D16" s="2">
        <v>663.91</v>
      </c>
      <c r="E16" s="36">
        <v>1947</v>
      </c>
      <c r="F16" s="37">
        <v>2</v>
      </c>
      <c r="G16" s="37">
        <v>2</v>
      </c>
      <c r="H16" s="37"/>
      <c r="I16" s="37">
        <v>12</v>
      </c>
      <c r="J16" s="37"/>
      <c r="K16" s="38">
        <v>89.9</v>
      </c>
      <c r="L16" s="39">
        <f>149+6+36</f>
        <v>191</v>
      </c>
      <c r="M16" s="40">
        <v>0</v>
      </c>
      <c r="N16" s="40">
        <v>0</v>
      </c>
      <c r="O16" s="40">
        <v>995</v>
      </c>
      <c r="P16" s="37"/>
      <c r="Q16" s="123" t="s">
        <v>53</v>
      </c>
      <c r="R16" s="122">
        <v>10</v>
      </c>
      <c r="S16" s="5" t="s">
        <v>47</v>
      </c>
      <c r="T16" s="11" t="s">
        <v>60</v>
      </c>
      <c r="U16" s="41" t="s">
        <v>52</v>
      </c>
      <c r="V16" s="40">
        <v>576</v>
      </c>
      <c r="W16" s="3">
        <v>13.85</v>
      </c>
      <c r="X16" s="3">
        <v>107593.26</v>
      </c>
      <c r="Y16" s="3">
        <v>92476.3</v>
      </c>
      <c r="Z16" s="3">
        <f t="shared" si="2"/>
        <v>85.94990057927421</v>
      </c>
      <c r="AA16" s="3">
        <f t="shared" si="29"/>
        <v>-97493.36665032325</v>
      </c>
      <c r="AB16" s="3">
        <f t="shared" si="3"/>
        <v>189969.66665032326</v>
      </c>
      <c r="AC16" s="107">
        <f t="shared" si="4"/>
        <v>160991.24292400276</v>
      </c>
      <c r="AD16" s="122">
        <v>10</v>
      </c>
      <c r="AE16" s="5" t="s">
        <v>47</v>
      </c>
      <c r="AF16" s="11" t="s">
        <v>60</v>
      </c>
      <c r="AG16" s="124">
        <f t="shared" si="5"/>
        <v>27625.996389864344</v>
      </c>
      <c r="AH16" s="124">
        <f>0.29*82.25/79.4</f>
        <v>0.3004093198992443</v>
      </c>
      <c r="AI16" s="108">
        <f t="shared" si="6"/>
        <v>20717.68754785894</v>
      </c>
      <c r="AJ16" s="108">
        <f t="shared" si="30"/>
        <v>4995.017479285001</v>
      </c>
      <c r="AK16" s="124">
        <f t="shared" si="7"/>
        <v>25712.70502714394</v>
      </c>
      <c r="AL16" s="109">
        <f t="shared" si="8"/>
        <v>1913.2913627204027</v>
      </c>
      <c r="AM16" s="122">
        <v>10</v>
      </c>
      <c r="AN16" s="5" t="s">
        <v>47</v>
      </c>
      <c r="AO16" s="11" t="s">
        <v>60</v>
      </c>
      <c r="AP16" s="2">
        <f t="shared" si="9"/>
        <v>66270.03687081077</v>
      </c>
      <c r="AQ16" s="2">
        <f>0.244+0.018</f>
        <v>0.262</v>
      </c>
      <c r="AR16" s="24">
        <f t="shared" si="10"/>
        <v>34517.68651690364</v>
      </c>
      <c r="AS16" s="24">
        <f t="shared" si="11"/>
        <v>9323.378276777254</v>
      </c>
      <c r="AT16" s="110">
        <v>11833.34</v>
      </c>
      <c r="AU16" s="60">
        <f t="shared" si="0"/>
        <v>566.336026630726</v>
      </c>
      <c r="AV16" s="122">
        <v>10</v>
      </c>
      <c r="AW16" s="5" t="s">
        <v>47</v>
      </c>
      <c r="AX16" s="11" t="s">
        <v>60</v>
      </c>
      <c r="AY16" s="14">
        <f t="shared" si="12"/>
        <v>0</v>
      </c>
      <c r="AZ16" s="2"/>
      <c r="BA16" s="2"/>
      <c r="BB16" s="2"/>
      <c r="BC16" s="25">
        <f t="shared" si="13"/>
        <v>0.035498744032532226</v>
      </c>
      <c r="BD16" s="25">
        <f t="shared" si="14"/>
        <v>5699.683279415954</v>
      </c>
      <c r="BE16" s="24">
        <f t="shared" si="15"/>
        <v>1506.5069620359366</v>
      </c>
      <c r="BF16" s="111">
        <f t="shared" si="16"/>
        <v>2823.105809047253</v>
      </c>
      <c r="BG16" s="122">
        <v>10</v>
      </c>
      <c r="BH16" s="5" t="s">
        <v>47</v>
      </c>
      <c r="BI16" s="11" t="s">
        <v>60</v>
      </c>
      <c r="BJ16" s="24">
        <f t="shared" si="17"/>
        <v>8649.50376391986</v>
      </c>
      <c r="BK16" s="24"/>
      <c r="BL16" s="14">
        <f t="shared" si="18"/>
        <v>322.7228255036666</v>
      </c>
      <c r="BM16" s="2"/>
      <c r="BN16" s="2"/>
      <c r="BO16" s="2"/>
      <c r="BP16" s="42"/>
      <c r="BQ16" s="122">
        <v>10</v>
      </c>
      <c r="BR16" s="5" t="s">
        <v>47</v>
      </c>
      <c r="BS16" s="11" t="s">
        <v>60</v>
      </c>
      <c r="BT16" s="2">
        <f t="shared" si="31"/>
        <v>65.04812715964064</v>
      </c>
      <c r="BU16" s="2">
        <f>18.5*I16*4</f>
        <v>888</v>
      </c>
      <c r="BV16" s="2"/>
      <c r="BW16" s="24">
        <f t="shared" si="19"/>
        <v>1131.5340515361536</v>
      </c>
      <c r="BX16" s="2">
        <v>4798</v>
      </c>
      <c r="BY16" s="35">
        <f t="shared" si="20"/>
        <v>1444.1987597203988</v>
      </c>
      <c r="BZ16" s="122">
        <v>10</v>
      </c>
      <c r="CA16" s="5" t="s">
        <v>47</v>
      </c>
      <c r="CB16" s="11" t="s">
        <v>60</v>
      </c>
      <c r="CC16" s="125">
        <f t="shared" si="1"/>
        <v>33138.73305481318</v>
      </c>
      <c r="CD16" s="112">
        <f t="shared" si="21"/>
        <v>0.12456831996870399</v>
      </c>
      <c r="CE16" s="108">
        <f t="shared" si="22"/>
        <v>23249.05543634595</v>
      </c>
      <c r="CF16" s="108">
        <f t="shared" si="23"/>
        <v>6384.844957518468</v>
      </c>
      <c r="CG16" s="108">
        <f t="shared" si="24"/>
        <v>3504.832660948766</v>
      </c>
      <c r="CH16" s="113">
        <f t="shared" si="25"/>
        <v>19062.037796068136</v>
      </c>
      <c r="CI16" s="114">
        <f t="shared" si="26"/>
        <v>2016.198187027718</v>
      </c>
      <c r="CJ16" s="114">
        <f t="shared" si="27"/>
        <v>4083.996251147218</v>
      </c>
      <c r="CK16" s="115">
        <f t="shared" si="28"/>
        <v>144.74061035153235</v>
      </c>
      <c r="CL16" s="122">
        <v>10</v>
      </c>
      <c r="CM16" s="5" t="s">
        <v>47</v>
      </c>
      <c r="CN16" s="11" t="s">
        <v>60</v>
      </c>
      <c r="CO16" s="126">
        <v>33301.68</v>
      </c>
      <c r="CP16" s="127">
        <v>28486.88</v>
      </c>
      <c r="CQ16" s="128"/>
      <c r="CR16" s="122">
        <v>10</v>
      </c>
      <c r="CS16" s="5" t="s">
        <v>47</v>
      </c>
      <c r="CT16" s="11" t="s">
        <v>60</v>
      </c>
      <c r="CU16" s="129">
        <v>0</v>
      </c>
      <c r="CV16" s="130">
        <v>0</v>
      </c>
      <c r="CW16" s="130">
        <v>598.65</v>
      </c>
      <c r="CX16" s="12"/>
      <c r="CY16" s="8"/>
      <c r="CZ16" s="64"/>
      <c r="DA16" s="61"/>
      <c r="DB16" s="122">
        <v>10</v>
      </c>
      <c r="DC16" s="5" t="s">
        <v>47</v>
      </c>
      <c r="DD16" s="11" t="s">
        <v>60</v>
      </c>
      <c r="DE16" s="131">
        <v>0</v>
      </c>
      <c r="DF16" s="132">
        <v>0</v>
      </c>
      <c r="DG16" s="133">
        <v>0</v>
      </c>
      <c r="DH16" s="16"/>
      <c r="DI16" s="16"/>
      <c r="DJ16" s="16"/>
      <c r="DK16" s="16"/>
      <c r="DL16" s="16"/>
    </row>
    <row r="17" spans="1:116" ht="12" customHeight="1">
      <c r="A17" s="122">
        <v>11</v>
      </c>
      <c r="B17" s="5" t="s">
        <v>47</v>
      </c>
      <c r="C17" s="6">
        <v>13</v>
      </c>
      <c r="D17" s="2">
        <v>2566.2</v>
      </c>
      <c r="E17" s="36">
        <v>1965</v>
      </c>
      <c r="F17" s="37">
        <v>4</v>
      </c>
      <c r="G17" s="37">
        <v>5</v>
      </c>
      <c r="H17" s="37"/>
      <c r="I17" s="37">
        <v>64</v>
      </c>
      <c r="J17" s="37"/>
      <c r="K17" s="38">
        <v>295.9</v>
      </c>
      <c r="L17" s="39">
        <f>649+26+466</f>
        <v>1141</v>
      </c>
      <c r="M17" s="40">
        <v>0</v>
      </c>
      <c r="N17" s="40">
        <v>0</v>
      </c>
      <c r="O17" s="40">
        <v>2165</v>
      </c>
      <c r="P17" s="37"/>
      <c r="Q17" s="123" t="s">
        <v>51</v>
      </c>
      <c r="R17" s="122">
        <v>11</v>
      </c>
      <c r="S17" s="5" t="s">
        <v>47</v>
      </c>
      <c r="T17" s="6">
        <v>13</v>
      </c>
      <c r="U17" s="41" t="s">
        <v>52</v>
      </c>
      <c r="V17" s="40">
        <v>1054</v>
      </c>
      <c r="W17" s="3">
        <v>20.6</v>
      </c>
      <c r="X17" s="3">
        <v>616659</v>
      </c>
      <c r="Y17" s="3">
        <v>588855.88</v>
      </c>
      <c r="Z17" s="3">
        <f t="shared" si="2"/>
        <v>95.49132989220948</v>
      </c>
      <c r="AA17" s="3">
        <f t="shared" si="29"/>
        <v>-106266.85673205275</v>
      </c>
      <c r="AB17" s="3">
        <f t="shared" si="3"/>
        <v>695122.7367320528</v>
      </c>
      <c r="AC17" s="107">
        <f t="shared" si="4"/>
        <v>589087.0650271634</v>
      </c>
      <c r="AD17" s="122">
        <v>11</v>
      </c>
      <c r="AE17" s="5" t="s">
        <v>47</v>
      </c>
      <c r="AF17" s="6">
        <v>13</v>
      </c>
      <c r="AG17" s="124">
        <f t="shared" si="5"/>
        <v>90498.95369093493</v>
      </c>
      <c r="AH17" s="124">
        <f>0.95*82.25/79.4</f>
        <v>0.9840994962216625</v>
      </c>
      <c r="AI17" s="108">
        <f t="shared" si="6"/>
        <v>67868.28679471032</v>
      </c>
      <c r="AJ17" s="108">
        <f t="shared" si="30"/>
        <v>16362.988294209486</v>
      </c>
      <c r="AK17" s="124">
        <f t="shared" si="7"/>
        <v>84231.2750889198</v>
      </c>
      <c r="AL17" s="109">
        <f t="shared" si="8"/>
        <v>6267.678602015113</v>
      </c>
      <c r="AM17" s="122">
        <v>11</v>
      </c>
      <c r="AN17" s="5" t="s">
        <v>47</v>
      </c>
      <c r="AO17" s="6">
        <v>13</v>
      </c>
      <c r="AP17" s="2">
        <f t="shared" si="9"/>
        <v>244893.5266316832</v>
      </c>
      <c r="AQ17" s="2">
        <f>0.963+0.018</f>
        <v>0.981</v>
      </c>
      <c r="AR17" s="24">
        <f t="shared" si="10"/>
        <v>129243.7040957346</v>
      </c>
      <c r="AS17" s="24">
        <f t="shared" si="11"/>
        <v>34909.290418009485</v>
      </c>
      <c r="AT17" s="110">
        <v>39845.77</v>
      </c>
      <c r="AU17" s="60">
        <f t="shared" si="0"/>
        <v>2128.695143814737</v>
      </c>
      <c r="AV17" s="122">
        <v>11</v>
      </c>
      <c r="AW17" s="5" t="s">
        <v>47</v>
      </c>
      <c r="AX17" s="6">
        <v>13</v>
      </c>
      <c r="AY17" s="14">
        <f t="shared" si="12"/>
        <v>0</v>
      </c>
      <c r="AZ17" s="7"/>
      <c r="BA17" s="2"/>
      <c r="BB17" s="2"/>
      <c r="BC17" s="25">
        <f t="shared" si="13"/>
        <v>0.13721268987706797</v>
      </c>
      <c r="BD17" s="25">
        <f t="shared" si="14"/>
        <v>22030.88857169981</v>
      </c>
      <c r="BE17" s="24">
        <f t="shared" si="15"/>
        <v>5823.075666847344</v>
      </c>
      <c r="BF17" s="111">
        <f t="shared" si="16"/>
        <v>10912.102735577202</v>
      </c>
      <c r="BG17" s="122">
        <v>11</v>
      </c>
      <c r="BH17" s="5" t="s">
        <v>47</v>
      </c>
      <c r="BI17" s="6">
        <v>13</v>
      </c>
      <c r="BJ17" s="24">
        <f t="shared" si="17"/>
        <v>27785.39448439454</v>
      </c>
      <c r="BK17" s="24"/>
      <c r="BL17" s="14">
        <f t="shared" si="18"/>
        <v>1247.4150333742664</v>
      </c>
      <c r="BM17" s="2"/>
      <c r="BN17" s="2"/>
      <c r="BO17" s="2"/>
      <c r="BP17" s="42"/>
      <c r="BQ17" s="122">
        <v>11</v>
      </c>
      <c r="BR17" s="5" t="s">
        <v>47</v>
      </c>
      <c r="BS17" s="6">
        <v>13</v>
      </c>
      <c r="BT17" s="2">
        <f t="shared" si="31"/>
        <v>346.92334485141674</v>
      </c>
      <c r="BU17" s="2">
        <f>18.5*I17</f>
        <v>1184</v>
      </c>
      <c r="BV17" s="2">
        <v>15051.12</v>
      </c>
      <c r="BW17" s="24">
        <f t="shared" si="19"/>
        <v>4373.699271063965</v>
      </c>
      <c r="BX17" s="2"/>
      <c r="BY17" s="35">
        <f t="shared" si="20"/>
        <v>5582.236835104889</v>
      </c>
      <c r="BZ17" s="122">
        <v>11</v>
      </c>
      <c r="CA17" s="5" t="s">
        <v>47</v>
      </c>
      <c r="CB17" s="6">
        <v>13</v>
      </c>
      <c r="CC17" s="125">
        <f t="shared" si="1"/>
        <v>128090.57969493093</v>
      </c>
      <c r="CD17" s="112">
        <f t="shared" si="21"/>
        <v>0.48149180265952946</v>
      </c>
      <c r="CE17" s="108">
        <f t="shared" si="22"/>
        <v>89864.177464944</v>
      </c>
      <c r="CF17" s="108">
        <f t="shared" si="23"/>
        <v>24679.23232062161</v>
      </c>
      <c r="CG17" s="108">
        <f t="shared" si="24"/>
        <v>13547.169909365311</v>
      </c>
      <c r="CH17" s="113">
        <f t="shared" si="25"/>
        <v>73680.16958965831</v>
      </c>
      <c r="CI17" s="114">
        <f t="shared" si="26"/>
        <v>7793.176466012757</v>
      </c>
      <c r="CJ17" s="114">
        <f t="shared" si="27"/>
        <v>15785.801056911314</v>
      </c>
      <c r="CK17" s="115">
        <f t="shared" si="28"/>
        <v>559.4634126374092</v>
      </c>
      <c r="CL17" s="122">
        <v>11</v>
      </c>
      <c r="CM17" s="5" t="s">
        <v>47</v>
      </c>
      <c r="CN17" s="6">
        <v>13</v>
      </c>
      <c r="CO17" s="126">
        <v>128720.34</v>
      </c>
      <c r="CP17" s="127">
        <v>121796.39</v>
      </c>
      <c r="CQ17" s="128"/>
      <c r="CR17" s="122">
        <v>11</v>
      </c>
      <c r="CS17" s="5" t="s">
        <v>47</v>
      </c>
      <c r="CT17" s="6">
        <v>13</v>
      </c>
      <c r="CU17" s="129">
        <v>1.37</v>
      </c>
      <c r="CV17" s="130">
        <v>16521.51</v>
      </c>
      <c r="CW17" s="130">
        <v>17107.99</v>
      </c>
      <c r="CX17" s="12"/>
      <c r="CY17" s="8"/>
      <c r="CZ17" s="64"/>
      <c r="DA17" s="61"/>
      <c r="DB17" s="122">
        <v>11</v>
      </c>
      <c r="DC17" s="5" t="s">
        <v>47</v>
      </c>
      <c r="DD17" s="6">
        <v>13</v>
      </c>
      <c r="DE17" s="131">
        <v>1.04</v>
      </c>
      <c r="DF17" s="132">
        <v>6494.28</v>
      </c>
      <c r="DG17" s="133">
        <v>4805.89</v>
      </c>
      <c r="DH17" s="16"/>
      <c r="DI17" s="16"/>
      <c r="DJ17" s="16"/>
      <c r="DK17" s="16"/>
      <c r="DL17" s="16"/>
    </row>
    <row r="18" spans="1:116" ht="12" customHeight="1">
      <c r="A18" s="122">
        <v>12</v>
      </c>
      <c r="B18" s="5" t="s">
        <v>47</v>
      </c>
      <c r="C18" s="6" t="s">
        <v>61</v>
      </c>
      <c r="D18" s="2">
        <v>3907.4</v>
      </c>
      <c r="E18" s="36">
        <v>1965</v>
      </c>
      <c r="F18" s="37">
        <v>4</v>
      </c>
      <c r="G18" s="37">
        <v>5</v>
      </c>
      <c r="H18" s="37"/>
      <c r="I18" s="37">
        <v>80</v>
      </c>
      <c r="J18" s="37"/>
      <c r="K18" s="38">
        <v>357</v>
      </c>
      <c r="L18" s="39">
        <f>285+169</f>
        <v>454</v>
      </c>
      <c r="M18" s="40">
        <v>0</v>
      </c>
      <c r="N18" s="40">
        <v>0</v>
      </c>
      <c r="O18" s="40">
        <v>2989</v>
      </c>
      <c r="P18" s="37"/>
      <c r="Q18" s="123" t="s">
        <v>48</v>
      </c>
      <c r="R18" s="122">
        <v>12</v>
      </c>
      <c r="S18" s="5" t="s">
        <v>47</v>
      </c>
      <c r="T18" s="6" t="s">
        <v>61</v>
      </c>
      <c r="U18" s="41" t="s">
        <v>52</v>
      </c>
      <c r="V18" s="40">
        <v>1183</v>
      </c>
      <c r="W18" s="3">
        <v>20.6</v>
      </c>
      <c r="X18" s="3">
        <v>938949.42</v>
      </c>
      <c r="Y18" s="3">
        <v>872296.06</v>
      </c>
      <c r="Z18" s="3">
        <f t="shared" si="2"/>
        <v>92.90128322354147</v>
      </c>
      <c r="AA18" s="3">
        <f t="shared" si="29"/>
        <v>14676.20264139946</v>
      </c>
      <c r="AB18" s="3">
        <f t="shared" si="3"/>
        <v>857619.8573586006</v>
      </c>
      <c r="AC18" s="107">
        <f t="shared" si="4"/>
        <v>726796.4892869497</v>
      </c>
      <c r="AD18" s="122">
        <v>12</v>
      </c>
      <c r="AE18" s="5" t="s">
        <v>47</v>
      </c>
      <c r="AF18" s="6" t="s">
        <v>61</v>
      </c>
      <c r="AG18" s="124">
        <f t="shared" si="5"/>
        <v>90498.95369093493</v>
      </c>
      <c r="AH18" s="124">
        <f>0.95*82.25/79.4</f>
        <v>0.9840994962216625</v>
      </c>
      <c r="AI18" s="108">
        <f t="shared" si="6"/>
        <v>67868.28679471032</v>
      </c>
      <c r="AJ18" s="108">
        <f t="shared" si="30"/>
        <v>16362.988294209486</v>
      </c>
      <c r="AK18" s="124">
        <f t="shared" si="7"/>
        <v>84231.2750889198</v>
      </c>
      <c r="AL18" s="109">
        <f t="shared" si="8"/>
        <v>6267.678602015113</v>
      </c>
      <c r="AM18" s="122">
        <v>12</v>
      </c>
      <c r="AN18" s="5" t="s">
        <v>47</v>
      </c>
      <c r="AO18" s="6" t="s">
        <v>61</v>
      </c>
      <c r="AP18" s="2">
        <f t="shared" si="9"/>
        <v>268906.7276043093</v>
      </c>
      <c r="AQ18" s="2">
        <f>0.956+0.018</f>
        <v>0.9740000000000001</v>
      </c>
      <c r="AR18" s="24">
        <f t="shared" si="10"/>
        <v>128321.47583001583</v>
      </c>
      <c r="AS18" s="24">
        <f t="shared" si="11"/>
        <v>34660.192525118495</v>
      </c>
      <c r="AT18" s="110">
        <v>27248.42</v>
      </c>
      <c r="AU18" s="60">
        <f t="shared" si="0"/>
        <v>2251.886420598281</v>
      </c>
      <c r="AV18" s="122">
        <v>12</v>
      </c>
      <c r="AW18" s="5" t="s">
        <v>47</v>
      </c>
      <c r="AX18" s="6" t="s">
        <v>61</v>
      </c>
      <c r="AY18" s="14">
        <f t="shared" si="12"/>
        <v>17397.97</v>
      </c>
      <c r="AZ18" s="2">
        <f>2129.25+1792.54+7713.73+5762.45</f>
        <v>17397.97</v>
      </c>
      <c r="BA18" s="2"/>
      <c r="BB18" s="2"/>
      <c r="BC18" s="25">
        <f t="shared" si="13"/>
        <v>0.20892559598848703</v>
      </c>
      <c r="BD18" s="25">
        <f t="shared" si="14"/>
        <v>33545.12275156256</v>
      </c>
      <c r="BE18" s="24">
        <f t="shared" si="15"/>
        <v>8866.450728953048</v>
      </c>
      <c r="BF18" s="111">
        <f t="shared" si="16"/>
        <v>16615.20934806109</v>
      </c>
      <c r="BG18" s="122">
        <v>12</v>
      </c>
      <c r="BH18" s="5" t="s">
        <v>47</v>
      </c>
      <c r="BI18" s="6" t="s">
        <v>61</v>
      </c>
      <c r="BJ18" s="24">
        <f t="shared" si="17"/>
        <v>23412.330138764682</v>
      </c>
      <c r="BK18" s="24"/>
      <c r="BL18" s="14">
        <f t="shared" si="18"/>
        <v>1899.3646252850945</v>
      </c>
      <c r="BM18" s="2"/>
      <c r="BN18" s="2"/>
      <c r="BO18" s="2"/>
      <c r="BP18" s="42"/>
      <c r="BQ18" s="122">
        <v>12</v>
      </c>
      <c r="BR18" s="5" t="s">
        <v>47</v>
      </c>
      <c r="BS18" s="6" t="s">
        <v>61</v>
      </c>
      <c r="BT18" s="2">
        <f t="shared" si="31"/>
        <v>433.6541810642709</v>
      </c>
      <c r="BU18" s="2">
        <f>18.5*I18*4</f>
        <v>5920</v>
      </c>
      <c r="BV18" s="2"/>
      <c r="BW18" s="24">
        <f t="shared" si="19"/>
        <v>6659.57155785026</v>
      </c>
      <c r="BX18" s="2"/>
      <c r="BY18" s="35">
        <f t="shared" si="20"/>
        <v>8499.739774565056</v>
      </c>
      <c r="BZ18" s="122">
        <v>12</v>
      </c>
      <c r="CA18" s="5" t="s">
        <v>47</v>
      </c>
      <c r="CB18" s="6" t="s">
        <v>61</v>
      </c>
      <c r="CC18" s="125">
        <f t="shared" si="1"/>
        <v>195035.9017613487</v>
      </c>
      <c r="CD18" s="112">
        <f t="shared" si="21"/>
        <v>0.7331389095595999</v>
      </c>
      <c r="CE18" s="108">
        <f t="shared" si="22"/>
        <v>136830.83431787163</v>
      </c>
      <c r="CF18" s="108">
        <f t="shared" si="23"/>
        <v>37577.59814885701</v>
      </c>
      <c r="CG18" s="108">
        <f t="shared" si="24"/>
        <v>20627.469294620067</v>
      </c>
      <c r="CH18" s="113">
        <f t="shared" si="25"/>
        <v>112188.4087969102</v>
      </c>
      <c r="CI18" s="114">
        <f t="shared" si="26"/>
        <v>11866.205955614625</v>
      </c>
      <c r="CJ18" s="114">
        <f t="shared" si="27"/>
        <v>24036.099699857874</v>
      </c>
      <c r="CK18" s="115">
        <f t="shared" si="28"/>
        <v>851.8616392094975</v>
      </c>
      <c r="CL18" s="122">
        <v>12</v>
      </c>
      <c r="CM18" s="5" t="s">
        <v>47</v>
      </c>
      <c r="CN18" s="6" t="s">
        <v>61</v>
      </c>
      <c r="CO18" s="126">
        <v>195994.98</v>
      </c>
      <c r="CP18" s="127">
        <v>175599.07</v>
      </c>
      <c r="CQ18" s="128"/>
      <c r="CR18" s="122">
        <v>12</v>
      </c>
      <c r="CS18" s="5" t="s">
        <v>47</v>
      </c>
      <c r="CT18" s="6" t="s">
        <v>61</v>
      </c>
      <c r="CU18" s="129">
        <v>1.37</v>
      </c>
      <c r="CV18" s="130">
        <v>20412.93</v>
      </c>
      <c r="CW18" s="130">
        <v>20307.49</v>
      </c>
      <c r="CX18" s="12"/>
      <c r="CY18" s="8"/>
      <c r="CZ18" s="64"/>
      <c r="DA18" s="61"/>
      <c r="DB18" s="122">
        <v>12</v>
      </c>
      <c r="DC18" s="5" t="s">
        <v>47</v>
      </c>
      <c r="DD18" s="6" t="s">
        <v>61</v>
      </c>
      <c r="DE18" s="131">
        <v>1.04</v>
      </c>
      <c r="DF18" s="132">
        <v>15434.52</v>
      </c>
      <c r="DG18" s="133">
        <v>14287.42</v>
      </c>
      <c r="DH18" s="16"/>
      <c r="DI18" s="16"/>
      <c r="DJ18" s="16"/>
      <c r="DK18" s="16"/>
      <c r="DL18" s="16"/>
    </row>
    <row r="19" spans="1:116" ht="12" customHeight="1">
      <c r="A19" s="122">
        <v>13</v>
      </c>
      <c r="B19" s="5" t="s">
        <v>47</v>
      </c>
      <c r="C19" s="6" t="s">
        <v>62</v>
      </c>
      <c r="D19" s="2">
        <v>3973.6</v>
      </c>
      <c r="E19" s="36">
        <v>1967</v>
      </c>
      <c r="F19" s="37">
        <v>6</v>
      </c>
      <c r="G19" s="37">
        <v>5</v>
      </c>
      <c r="H19" s="37"/>
      <c r="I19" s="37">
        <v>90</v>
      </c>
      <c r="J19" s="37"/>
      <c r="K19" s="38">
        <v>506.8</v>
      </c>
      <c r="L19" s="39">
        <f>475+214</f>
        <v>689</v>
      </c>
      <c r="M19" s="40">
        <v>0</v>
      </c>
      <c r="N19" s="40">
        <v>0</v>
      </c>
      <c r="O19" s="40">
        <v>3147</v>
      </c>
      <c r="P19" s="37"/>
      <c r="Q19" s="123" t="s">
        <v>48</v>
      </c>
      <c r="R19" s="122">
        <v>13</v>
      </c>
      <c r="S19" s="5" t="s">
        <v>47</v>
      </c>
      <c r="T19" s="6" t="s">
        <v>62</v>
      </c>
      <c r="U19" s="41" t="s">
        <v>49</v>
      </c>
      <c r="V19" s="40">
        <v>1083</v>
      </c>
      <c r="W19" s="3">
        <v>20.6</v>
      </c>
      <c r="X19" s="3">
        <v>954857.7</v>
      </c>
      <c r="Y19" s="3">
        <v>864143.75</v>
      </c>
      <c r="Z19" s="3">
        <f t="shared" si="2"/>
        <v>90.49974147980376</v>
      </c>
      <c r="AA19" s="3">
        <f t="shared" si="29"/>
        <v>-95770.05238212424</v>
      </c>
      <c r="AB19" s="3">
        <f t="shared" si="3"/>
        <v>959913.8023821242</v>
      </c>
      <c r="AC19" s="107">
        <f t="shared" si="4"/>
        <v>813486.2732051901</v>
      </c>
      <c r="AD19" s="122">
        <v>13</v>
      </c>
      <c r="AE19" s="5" t="s">
        <v>47</v>
      </c>
      <c r="AF19" s="6" t="s">
        <v>62</v>
      </c>
      <c r="AG19" s="124">
        <f t="shared" si="5"/>
        <v>116219.70895046378</v>
      </c>
      <c r="AH19" s="124">
        <f>1.22*82.25/79.4</f>
        <v>1.2637909319899243</v>
      </c>
      <c r="AI19" s="108">
        <f t="shared" si="6"/>
        <v>87157.16830478588</v>
      </c>
      <c r="AJ19" s="108">
        <f t="shared" si="30"/>
        <v>21013.521809405865</v>
      </c>
      <c r="AK19" s="124">
        <f t="shared" si="7"/>
        <v>108170.69011419175</v>
      </c>
      <c r="AL19" s="109">
        <f t="shared" si="8"/>
        <v>8049.018836272039</v>
      </c>
      <c r="AM19" s="122">
        <v>13</v>
      </c>
      <c r="AN19" s="5" t="s">
        <v>47</v>
      </c>
      <c r="AO19" s="6" t="s">
        <v>62</v>
      </c>
      <c r="AP19" s="2">
        <f t="shared" si="9"/>
        <v>329624.7814138498</v>
      </c>
      <c r="AQ19" s="2">
        <f>1.04+0.018</f>
        <v>1.058</v>
      </c>
      <c r="AR19" s="24">
        <f t="shared" si="10"/>
        <v>139388.2150186414</v>
      </c>
      <c r="AS19" s="24">
        <f t="shared" si="11"/>
        <v>37649.36723981043</v>
      </c>
      <c r="AT19" s="110">
        <v>90141.84</v>
      </c>
      <c r="AU19" s="60">
        <f t="shared" si="0"/>
        <v>2418.5320459051027</v>
      </c>
      <c r="AV19" s="122">
        <v>13</v>
      </c>
      <c r="AW19" s="5" t="s">
        <v>47</v>
      </c>
      <c r="AX19" s="6" t="s">
        <v>62</v>
      </c>
      <c r="AY19" s="14">
        <f t="shared" si="12"/>
        <v>0</v>
      </c>
      <c r="AZ19" s="7"/>
      <c r="BA19" s="2"/>
      <c r="BB19" s="2"/>
      <c r="BC19" s="25">
        <f t="shared" si="13"/>
        <v>0.21246525777239392</v>
      </c>
      <c r="BD19" s="25">
        <f t="shared" si="14"/>
        <v>34113.45133992142</v>
      </c>
      <c r="BE19" s="24">
        <f t="shared" si="15"/>
        <v>9016.668018776636</v>
      </c>
      <c r="BF19" s="111">
        <f t="shared" si="16"/>
        <v>16896.707750794783</v>
      </c>
      <c r="BG19" s="122">
        <v>13</v>
      </c>
      <c r="BH19" s="5" t="s">
        <v>47</v>
      </c>
      <c r="BI19" s="6" t="s">
        <v>62</v>
      </c>
      <c r="BJ19" s="24">
        <f t="shared" si="17"/>
        <v>17835.54861954118</v>
      </c>
      <c r="BK19" s="24"/>
      <c r="BL19" s="14">
        <f t="shared" si="18"/>
        <v>1931.5440638360164</v>
      </c>
      <c r="BM19" s="2"/>
      <c r="BN19" s="2"/>
      <c r="BO19" s="2"/>
      <c r="BP19" s="42"/>
      <c r="BQ19" s="122">
        <v>13</v>
      </c>
      <c r="BR19" s="5" t="s">
        <v>47</v>
      </c>
      <c r="BS19" s="6" t="s">
        <v>62</v>
      </c>
      <c r="BT19" s="2">
        <f t="shared" si="31"/>
        <v>487.8609536973048</v>
      </c>
      <c r="BU19" s="2"/>
      <c r="BV19" s="2"/>
      <c r="BW19" s="24">
        <f t="shared" si="19"/>
        <v>6772.399432429184</v>
      </c>
      <c r="BX19" s="2"/>
      <c r="BY19" s="35">
        <f t="shared" si="20"/>
        <v>8643.744169578673</v>
      </c>
      <c r="BZ19" s="122">
        <v>13</v>
      </c>
      <c r="CA19" s="5" t="s">
        <v>47</v>
      </c>
      <c r="CB19" s="6" t="s">
        <v>62</v>
      </c>
      <c r="CC19" s="125">
        <f t="shared" si="1"/>
        <v>198340.2413980896</v>
      </c>
      <c r="CD19" s="112">
        <f t="shared" si="21"/>
        <v>0.7455599045467641</v>
      </c>
      <c r="CE19" s="108">
        <f t="shared" si="22"/>
        <v>139149.0513501292</v>
      </c>
      <c r="CF19" s="108">
        <f t="shared" si="23"/>
        <v>38214.24579113944</v>
      </c>
      <c r="CG19" s="108">
        <f t="shared" si="24"/>
        <v>20976.944256820978</v>
      </c>
      <c r="CH19" s="113">
        <f t="shared" si="25"/>
        <v>114089.12862655534</v>
      </c>
      <c r="CI19" s="114">
        <f t="shared" si="26"/>
        <v>12067.245735074543</v>
      </c>
      <c r="CJ19" s="114">
        <f t="shared" si="27"/>
        <v>24443.32440173907</v>
      </c>
      <c r="CK19" s="115">
        <f t="shared" si="28"/>
        <v>866.2940598768643</v>
      </c>
      <c r="CL19" s="122">
        <v>13</v>
      </c>
      <c r="CM19" s="5" t="s">
        <v>47</v>
      </c>
      <c r="CN19" s="6" t="s">
        <v>62</v>
      </c>
      <c r="CO19" s="126">
        <v>199315.62</v>
      </c>
      <c r="CP19" s="127">
        <v>181339.17</v>
      </c>
      <c r="CQ19" s="128"/>
      <c r="CR19" s="122">
        <v>13</v>
      </c>
      <c r="CS19" s="5" t="s">
        <v>47</v>
      </c>
      <c r="CT19" s="6" t="s">
        <v>62</v>
      </c>
      <c r="CU19" s="129">
        <v>1.37</v>
      </c>
      <c r="CV19" s="130">
        <v>23155.26</v>
      </c>
      <c r="CW19" s="130">
        <v>24080.29</v>
      </c>
      <c r="CX19" s="12" t="s">
        <v>124</v>
      </c>
      <c r="CY19" s="8">
        <v>71750</v>
      </c>
      <c r="CZ19" s="64"/>
      <c r="DA19" s="61"/>
      <c r="DB19" s="122">
        <v>13</v>
      </c>
      <c r="DC19" s="5" t="s">
        <v>47</v>
      </c>
      <c r="DD19" s="6" t="s">
        <v>62</v>
      </c>
      <c r="DE19" s="131">
        <v>1.04</v>
      </c>
      <c r="DF19" s="132">
        <v>11258.39</v>
      </c>
      <c r="DG19" s="133">
        <v>9578.9</v>
      </c>
      <c r="DH19" s="16"/>
      <c r="DI19" s="16"/>
      <c r="DJ19" s="16"/>
      <c r="DK19" s="16"/>
      <c r="DL19" s="16"/>
    </row>
    <row r="20" spans="1:116" ht="12" customHeight="1">
      <c r="A20" s="122">
        <v>14</v>
      </c>
      <c r="B20" s="5" t="s">
        <v>47</v>
      </c>
      <c r="C20" s="6" t="s">
        <v>63</v>
      </c>
      <c r="D20" s="2">
        <v>3955.3</v>
      </c>
      <c r="E20" s="36">
        <v>1968</v>
      </c>
      <c r="F20" s="37">
        <v>6</v>
      </c>
      <c r="G20" s="37">
        <v>5</v>
      </c>
      <c r="H20" s="37"/>
      <c r="I20" s="37">
        <v>90</v>
      </c>
      <c r="J20" s="37"/>
      <c r="K20" s="38">
        <v>515.1</v>
      </c>
      <c r="L20" s="39">
        <f>799.4</f>
        <v>799.4</v>
      </c>
      <c r="M20" s="40">
        <v>0</v>
      </c>
      <c r="N20" s="40">
        <v>0</v>
      </c>
      <c r="O20" s="40">
        <v>4235.1</v>
      </c>
      <c r="P20" s="37"/>
      <c r="Q20" s="123" t="s">
        <v>48</v>
      </c>
      <c r="R20" s="122">
        <v>14</v>
      </c>
      <c r="S20" s="5" t="s">
        <v>47</v>
      </c>
      <c r="T20" s="6" t="s">
        <v>63</v>
      </c>
      <c r="U20" s="41" t="s">
        <v>49</v>
      </c>
      <c r="V20" s="40">
        <v>1132</v>
      </c>
      <c r="W20" s="3">
        <v>20.6</v>
      </c>
      <c r="X20" s="3">
        <v>950613.88</v>
      </c>
      <c r="Y20" s="3">
        <v>914975.3</v>
      </c>
      <c r="Z20" s="3">
        <f t="shared" si="2"/>
        <v>96.2509930951145</v>
      </c>
      <c r="AA20" s="3">
        <f t="shared" si="29"/>
        <v>-87735.33598820132</v>
      </c>
      <c r="AB20" s="3">
        <f t="shared" si="3"/>
        <v>1002710.6359882014</v>
      </c>
      <c r="AC20" s="107">
        <f t="shared" si="4"/>
        <v>849754.7762611876</v>
      </c>
      <c r="AD20" s="122">
        <v>14</v>
      </c>
      <c r="AE20" s="5" t="s">
        <v>47</v>
      </c>
      <c r="AF20" s="6" t="s">
        <v>63</v>
      </c>
      <c r="AG20" s="124">
        <f t="shared" si="5"/>
        <v>133366.87912348303</v>
      </c>
      <c r="AH20" s="124">
        <f>1.4*82.25/79.4</f>
        <v>1.4502518891687655</v>
      </c>
      <c r="AI20" s="108">
        <f t="shared" si="6"/>
        <v>100016.42264483625</v>
      </c>
      <c r="AJ20" s="108">
        <f t="shared" si="30"/>
        <v>24113.87748620345</v>
      </c>
      <c r="AK20" s="124">
        <f t="shared" si="7"/>
        <v>124130.3001310397</v>
      </c>
      <c r="AL20" s="109">
        <f t="shared" si="8"/>
        <v>9236.578992443323</v>
      </c>
      <c r="AM20" s="122">
        <v>14</v>
      </c>
      <c r="AN20" s="5" t="s">
        <v>47</v>
      </c>
      <c r="AO20" s="6" t="s">
        <v>63</v>
      </c>
      <c r="AP20" s="2">
        <f t="shared" si="9"/>
        <v>350437.0033572607</v>
      </c>
      <c r="AQ20" s="2">
        <f>1.042+0.018</f>
        <v>1.06</v>
      </c>
      <c r="AR20" s="24">
        <f t="shared" si="10"/>
        <v>139651.70880884677</v>
      </c>
      <c r="AS20" s="24">
        <f t="shared" si="11"/>
        <v>37720.53806635072</v>
      </c>
      <c r="AT20" s="110">
        <v>110893.9</v>
      </c>
      <c r="AU20" s="60">
        <f t="shared" si="0"/>
        <v>2420.476658684715</v>
      </c>
      <c r="AV20" s="122">
        <v>14</v>
      </c>
      <c r="AW20" s="5" t="s">
        <v>47</v>
      </c>
      <c r="AX20" s="6" t="s">
        <v>63</v>
      </c>
      <c r="AY20" s="14">
        <f t="shared" si="12"/>
        <v>0</v>
      </c>
      <c r="AZ20" s="7"/>
      <c r="BA20" s="2"/>
      <c r="BB20" s="2"/>
      <c r="BC20" s="25">
        <f t="shared" si="13"/>
        <v>0.211486771206752</v>
      </c>
      <c r="BD20" s="25">
        <f t="shared" si="14"/>
        <v>33956.34540084337</v>
      </c>
      <c r="BE20" s="24">
        <f t="shared" si="15"/>
        <v>8975.142695456823</v>
      </c>
      <c r="BF20" s="111">
        <f t="shared" si="16"/>
        <v>16818.89172707837</v>
      </c>
      <c r="BG20" s="122">
        <v>14</v>
      </c>
      <c r="BH20" s="5" t="s">
        <v>47</v>
      </c>
      <c r="BI20" s="6" t="s">
        <v>63</v>
      </c>
      <c r="BJ20" s="24">
        <f t="shared" si="17"/>
        <v>17755.655654903334</v>
      </c>
      <c r="BK20" s="24"/>
      <c r="BL20" s="14">
        <f t="shared" si="18"/>
        <v>1922.6485392819097</v>
      </c>
      <c r="BM20" s="2"/>
      <c r="BN20" s="2"/>
      <c r="BO20" s="2"/>
      <c r="BP20" s="42"/>
      <c r="BQ20" s="122">
        <v>14</v>
      </c>
      <c r="BR20" s="5" t="s">
        <v>47</v>
      </c>
      <c r="BS20" s="6" t="s">
        <v>63</v>
      </c>
      <c r="BT20" s="2">
        <f t="shared" si="31"/>
        <v>487.8609536973048</v>
      </c>
      <c r="BU20" s="2"/>
      <c r="BV20" s="2"/>
      <c r="BW20" s="24">
        <f t="shared" si="19"/>
        <v>6741.209853806914</v>
      </c>
      <c r="BX20" s="2"/>
      <c r="BY20" s="35">
        <f t="shared" si="20"/>
        <v>8603.936308117205</v>
      </c>
      <c r="BZ20" s="122">
        <v>14</v>
      </c>
      <c r="CA20" s="5" t="s">
        <v>47</v>
      </c>
      <c r="CB20" s="6" t="s">
        <v>63</v>
      </c>
      <c r="CC20" s="125">
        <f t="shared" si="1"/>
        <v>197426.80612086365</v>
      </c>
      <c r="CD20" s="112">
        <f t="shared" si="21"/>
        <v>0.7421263062346025</v>
      </c>
      <c r="CE20" s="108">
        <f t="shared" si="22"/>
        <v>138508.21491976193</v>
      </c>
      <c r="CF20" s="108">
        <f t="shared" si="23"/>
        <v>38038.254071293995</v>
      </c>
      <c r="CG20" s="108">
        <f t="shared" si="24"/>
        <v>20880.33712980774</v>
      </c>
      <c r="CH20" s="113">
        <f t="shared" si="25"/>
        <v>113563.70305431205</v>
      </c>
      <c r="CI20" s="114">
        <f t="shared" si="26"/>
        <v>12011.671294528976</v>
      </c>
      <c r="CJ20" s="114">
        <f t="shared" si="27"/>
        <v>24330.75322282025</v>
      </c>
      <c r="CK20" s="115">
        <f t="shared" si="28"/>
        <v>862.3044330156436</v>
      </c>
      <c r="CL20" s="122">
        <v>14</v>
      </c>
      <c r="CM20" s="5" t="s">
        <v>47</v>
      </c>
      <c r="CN20" s="6" t="s">
        <v>63</v>
      </c>
      <c r="CO20" s="126">
        <v>198429.72</v>
      </c>
      <c r="CP20" s="127">
        <v>190166.15</v>
      </c>
      <c r="CQ20" s="128"/>
      <c r="CR20" s="122">
        <v>14</v>
      </c>
      <c r="CS20" s="5" t="s">
        <v>47</v>
      </c>
      <c r="CT20" s="6" t="s">
        <v>63</v>
      </c>
      <c r="CU20" s="129">
        <v>1.37</v>
      </c>
      <c r="CV20" s="130">
        <v>18949.71</v>
      </c>
      <c r="CW20" s="130">
        <v>21012.41</v>
      </c>
      <c r="CX20" s="12" t="s">
        <v>124</v>
      </c>
      <c r="CY20" s="8">
        <v>184860</v>
      </c>
      <c r="CZ20" s="64"/>
      <c r="DA20" s="42"/>
      <c r="DB20" s="122">
        <v>14</v>
      </c>
      <c r="DC20" s="5" t="s">
        <v>47</v>
      </c>
      <c r="DD20" s="6" t="s">
        <v>63</v>
      </c>
      <c r="DE20" s="131">
        <v>1.04</v>
      </c>
      <c r="DF20" s="132">
        <v>17372.3</v>
      </c>
      <c r="DG20" s="133">
        <v>16244.56</v>
      </c>
      <c r="DH20" s="16"/>
      <c r="DI20" s="16"/>
      <c r="DJ20" s="16"/>
      <c r="DK20" s="16"/>
      <c r="DL20" s="16"/>
    </row>
    <row r="21" spans="1:116" ht="12" customHeight="1">
      <c r="A21" s="122">
        <v>15</v>
      </c>
      <c r="B21" s="5" t="s">
        <v>47</v>
      </c>
      <c r="C21" s="6">
        <v>14</v>
      </c>
      <c r="D21" s="2">
        <v>670.3</v>
      </c>
      <c r="E21" s="36">
        <v>1959</v>
      </c>
      <c r="F21" s="37">
        <v>2</v>
      </c>
      <c r="G21" s="37">
        <v>2</v>
      </c>
      <c r="H21" s="37"/>
      <c r="I21" s="37">
        <v>12</v>
      </c>
      <c r="J21" s="37"/>
      <c r="K21" s="38">
        <v>89.8</v>
      </c>
      <c r="L21" s="39">
        <f>224+43</f>
        <v>267</v>
      </c>
      <c r="M21" s="40">
        <v>0</v>
      </c>
      <c r="N21" s="40">
        <v>0</v>
      </c>
      <c r="O21" s="40">
        <v>1870</v>
      </c>
      <c r="P21" s="37"/>
      <c r="Q21" s="123" t="s">
        <v>53</v>
      </c>
      <c r="R21" s="122">
        <v>15</v>
      </c>
      <c r="S21" s="5" t="s">
        <v>47</v>
      </c>
      <c r="T21" s="6">
        <v>14</v>
      </c>
      <c r="U21" s="41" t="s">
        <v>52</v>
      </c>
      <c r="V21" s="40">
        <v>576</v>
      </c>
      <c r="W21" s="3">
        <v>13.85</v>
      </c>
      <c r="X21" s="3">
        <v>108629.1</v>
      </c>
      <c r="Y21" s="3">
        <v>106514.75</v>
      </c>
      <c r="Z21" s="3">
        <f t="shared" si="2"/>
        <v>98.05360626204211</v>
      </c>
      <c r="AA21" s="3">
        <f t="shared" si="29"/>
        <v>-100924.05891852092</v>
      </c>
      <c r="AB21" s="3">
        <f t="shared" si="3"/>
        <v>207438.80891852092</v>
      </c>
      <c r="AC21" s="107">
        <f t="shared" si="4"/>
        <v>175795.60077840756</v>
      </c>
      <c r="AD21" s="122">
        <v>15</v>
      </c>
      <c r="AE21" s="5" t="s">
        <v>47</v>
      </c>
      <c r="AF21" s="6">
        <v>14</v>
      </c>
      <c r="AG21" s="124">
        <f t="shared" si="5"/>
        <v>33341.71978087076</v>
      </c>
      <c r="AH21" s="124">
        <f>0.35*82.25/79.4</f>
        <v>0.36256297229219137</v>
      </c>
      <c r="AI21" s="108">
        <f t="shared" si="6"/>
        <v>25004.10566120906</v>
      </c>
      <c r="AJ21" s="108">
        <f t="shared" si="30"/>
        <v>6028.469371550863</v>
      </c>
      <c r="AK21" s="124">
        <f t="shared" si="7"/>
        <v>31032.575032759923</v>
      </c>
      <c r="AL21" s="109">
        <f t="shared" si="8"/>
        <v>2309.1447481108307</v>
      </c>
      <c r="AM21" s="122">
        <v>15</v>
      </c>
      <c r="AN21" s="5" t="s">
        <v>47</v>
      </c>
      <c r="AO21" s="6">
        <v>14</v>
      </c>
      <c r="AP21" s="2">
        <f t="shared" si="9"/>
        <v>74768.24613769738</v>
      </c>
      <c r="AQ21" s="2">
        <f>0.217+0.018</f>
        <v>0.235</v>
      </c>
      <c r="AR21" s="24">
        <f t="shared" si="10"/>
        <v>30960.520349131122</v>
      </c>
      <c r="AS21" s="24">
        <f t="shared" si="11"/>
        <v>8362.572118483413</v>
      </c>
      <c r="AT21" s="110">
        <v>24803.74</v>
      </c>
      <c r="AU21" s="60">
        <f t="shared" si="0"/>
        <v>515.5876655798497</v>
      </c>
      <c r="AV21" s="122">
        <v>15</v>
      </c>
      <c r="AW21" s="5" t="s">
        <v>47</v>
      </c>
      <c r="AX21" s="6">
        <v>14</v>
      </c>
      <c r="AY21" s="14">
        <f t="shared" si="12"/>
        <v>0</v>
      </c>
      <c r="AZ21" s="7"/>
      <c r="BA21" s="2"/>
      <c r="BB21" s="2"/>
      <c r="BC21" s="25">
        <f t="shared" si="13"/>
        <v>0.03584041229233834</v>
      </c>
      <c r="BD21" s="25">
        <f t="shared" si="14"/>
        <v>5754.541582733373</v>
      </c>
      <c r="BE21" s="24">
        <f t="shared" si="15"/>
        <v>1521.0067880476092</v>
      </c>
      <c r="BF21" s="111">
        <f t="shared" si="16"/>
        <v>2850.277633722001</v>
      </c>
      <c r="BG21" s="122">
        <v>15</v>
      </c>
      <c r="BH21" s="5" t="s">
        <v>47</v>
      </c>
      <c r="BI21" s="6">
        <v>14</v>
      </c>
      <c r="BJ21" s="24">
        <f t="shared" si="17"/>
        <v>8677.400815506517</v>
      </c>
      <c r="BK21" s="24"/>
      <c r="BL21" s="14">
        <f t="shared" si="18"/>
        <v>325.8289676840351</v>
      </c>
      <c r="BM21" s="2"/>
      <c r="BN21" s="2"/>
      <c r="BO21" s="2"/>
      <c r="BP21" s="42"/>
      <c r="BQ21" s="122">
        <v>15</v>
      </c>
      <c r="BR21" s="5" t="s">
        <v>47</v>
      </c>
      <c r="BS21" s="6">
        <v>14</v>
      </c>
      <c r="BT21" s="2">
        <f t="shared" si="31"/>
        <v>65.04812715964064</v>
      </c>
      <c r="BU21" s="2">
        <f>18.5*I21*4</f>
        <v>888</v>
      </c>
      <c r="BV21" s="2"/>
      <c r="BW21" s="24">
        <f t="shared" si="19"/>
        <v>1142.4248388255692</v>
      </c>
      <c r="BX21" s="2">
        <v>4798</v>
      </c>
      <c r="BY21" s="35">
        <f t="shared" si="20"/>
        <v>1458.098881837272</v>
      </c>
      <c r="BZ21" s="122">
        <v>15</v>
      </c>
      <c r="CA21" s="5" t="s">
        <v>47</v>
      </c>
      <c r="CB21" s="6">
        <v>14</v>
      </c>
      <c r="CC21" s="125">
        <f t="shared" si="1"/>
        <v>33457.68668440192</v>
      </c>
      <c r="CD21" s="112">
        <f t="shared" si="21"/>
        <v>0.12576726495311455</v>
      </c>
      <c r="CE21" s="108">
        <f t="shared" si="22"/>
        <v>23472.822911211893</v>
      </c>
      <c r="CF21" s="108">
        <f t="shared" si="23"/>
        <v>6446.297803956302</v>
      </c>
      <c r="CG21" s="108">
        <f t="shared" si="24"/>
        <v>3538.565969233718</v>
      </c>
      <c r="CH21" s="113">
        <f t="shared" si="25"/>
        <v>19245.50606965473</v>
      </c>
      <c r="CI21" s="114">
        <f t="shared" si="26"/>
        <v>2035.6036883985469</v>
      </c>
      <c r="CJ21" s="114">
        <f t="shared" si="27"/>
        <v>4123.303892310675</v>
      </c>
      <c r="CK21" s="115">
        <f t="shared" si="28"/>
        <v>146.13370956700777</v>
      </c>
      <c r="CL21" s="122">
        <v>15</v>
      </c>
      <c r="CM21" s="5" t="s">
        <v>47</v>
      </c>
      <c r="CN21" s="6">
        <v>14</v>
      </c>
      <c r="CO21" s="126">
        <v>33622.32</v>
      </c>
      <c r="CP21" s="127">
        <v>32959.3</v>
      </c>
      <c r="CQ21" s="128"/>
      <c r="CR21" s="122">
        <v>15</v>
      </c>
      <c r="CS21" s="5" t="s">
        <v>47</v>
      </c>
      <c r="CT21" s="6">
        <v>14</v>
      </c>
      <c r="CU21" s="129">
        <v>0</v>
      </c>
      <c r="CV21" s="130">
        <v>0</v>
      </c>
      <c r="CW21" s="130">
        <v>0</v>
      </c>
      <c r="CX21" s="12"/>
      <c r="CY21" s="8"/>
      <c r="CZ21" s="64"/>
      <c r="DA21" s="61"/>
      <c r="DB21" s="122">
        <v>15</v>
      </c>
      <c r="DC21" s="5" t="s">
        <v>47</v>
      </c>
      <c r="DD21" s="6">
        <v>14</v>
      </c>
      <c r="DE21" s="131">
        <v>0</v>
      </c>
      <c r="DF21" s="132">
        <v>0</v>
      </c>
      <c r="DG21" s="133">
        <v>0</v>
      </c>
      <c r="DH21" s="16"/>
      <c r="DI21" s="16"/>
      <c r="DJ21" s="16"/>
      <c r="DK21" s="16"/>
      <c r="DL21" s="16"/>
    </row>
    <row r="22" spans="1:116" ht="12" customHeight="1">
      <c r="A22" s="122">
        <v>16</v>
      </c>
      <c r="B22" s="5" t="s">
        <v>47</v>
      </c>
      <c r="C22" s="6">
        <v>15</v>
      </c>
      <c r="D22" s="2">
        <v>4562.8</v>
      </c>
      <c r="E22" s="36">
        <v>1970</v>
      </c>
      <c r="F22" s="37">
        <v>6</v>
      </c>
      <c r="G22" s="37">
        <v>5</v>
      </c>
      <c r="H22" s="37"/>
      <c r="I22" s="37">
        <v>98</v>
      </c>
      <c r="J22" s="37"/>
      <c r="K22" s="38">
        <v>475.2</v>
      </c>
      <c r="L22" s="39">
        <v>1991.4</v>
      </c>
      <c r="M22" s="40">
        <v>0</v>
      </c>
      <c r="N22" s="40">
        <v>0</v>
      </c>
      <c r="O22" s="46">
        <v>12610.7</v>
      </c>
      <c r="P22" s="37"/>
      <c r="Q22" s="123" t="s">
        <v>51</v>
      </c>
      <c r="R22" s="122">
        <v>16</v>
      </c>
      <c r="S22" s="5" t="s">
        <v>47</v>
      </c>
      <c r="T22" s="6">
        <v>15</v>
      </c>
      <c r="U22" s="41" t="s">
        <v>49</v>
      </c>
      <c r="V22" s="40">
        <v>1250</v>
      </c>
      <c r="W22" s="3">
        <v>20.6</v>
      </c>
      <c r="X22" s="3">
        <v>1096442.58</v>
      </c>
      <c r="Y22" s="3">
        <v>1057209</v>
      </c>
      <c r="Z22" s="3">
        <f t="shared" si="2"/>
        <v>96.42173874713987</v>
      </c>
      <c r="AA22" s="3">
        <f t="shared" si="29"/>
        <v>-100799.69093462359</v>
      </c>
      <c r="AB22" s="3">
        <f t="shared" si="3"/>
        <v>1158008.6909346236</v>
      </c>
      <c r="AC22" s="107">
        <f t="shared" si="4"/>
        <v>981363.2974022235</v>
      </c>
      <c r="AD22" s="122">
        <v>16</v>
      </c>
      <c r="AE22" s="5" t="s">
        <v>47</v>
      </c>
      <c r="AF22" s="6">
        <v>15</v>
      </c>
      <c r="AG22" s="124">
        <f t="shared" si="5"/>
        <v>158135.01381784416</v>
      </c>
      <c r="AH22" s="124">
        <f>1.66*82.25/79.4</f>
        <v>1.7195843828715363</v>
      </c>
      <c r="AI22" s="108">
        <f t="shared" si="6"/>
        <v>118590.90113602013</v>
      </c>
      <c r="AJ22" s="108">
        <f t="shared" si="30"/>
        <v>28592.169019355522</v>
      </c>
      <c r="AK22" s="124">
        <f t="shared" si="7"/>
        <v>147183.07015537564</v>
      </c>
      <c r="AL22" s="109">
        <f t="shared" si="8"/>
        <v>10951.943662468511</v>
      </c>
      <c r="AM22" s="122">
        <v>16</v>
      </c>
      <c r="AN22" s="5" t="s">
        <v>47</v>
      </c>
      <c r="AO22" s="6">
        <v>15</v>
      </c>
      <c r="AP22" s="2">
        <f t="shared" si="9"/>
        <v>401102.051478022</v>
      </c>
      <c r="AQ22" s="2">
        <f>1.556+0.02</f>
        <v>1.576</v>
      </c>
      <c r="AR22" s="24">
        <f t="shared" si="10"/>
        <v>207633.10668183258</v>
      </c>
      <c r="AS22" s="24">
        <f t="shared" si="11"/>
        <v>56082.61131374409</v>
      </c>
      <c r="AT22" s="110">
        <v>64994.21</v>
      </c>
      <c r="AU22" s="60">
        <f t="shared" si="0"/>
        <v>3464.6001446171317</v>
      </c>
      <c r="AV22" s="122">
        <v>16</v>
      </c>
      <c r="AW22" s="5" t="s">
        <v>47</v>
      </c>
      <c r="AX22" s="6">
        <v>15</v>
      </c>
      <c r="AY22" s="14">
        <f t="shared" si="12"/>
        <v>0</v>
      </c>
      <c r="AZ22" s="7"/>
      <c r="BA22" s="2"/>
      <c r="BB22" s="2"/>
      <c r="BC22" s="25">
        <f t="shared" si="13"/>
        <v>0.24396931703339014</v>
      </c>
      <c r="BD22" s="25">
        <f t="shared" si="14"/>
        <v>39171.74747679522</v>
      </c>
      <c r="BE22" s="24">
        <f t="shared" si="15"/>
        <v>10353.647281073598</v>
      </c>
      <c r="BF22" s="111">
        <f t="shared" si="16"/>
        <v>19402.128579959342</v>
      </c>
      <c r="BG22" s="122">
        <v>16</v>
      </c>
      <c r="BH22" s="5" t="s">
        <v>47</v>
      </c>
      <c r="BI22" s="6">
        <v>15</v>
      </c>
      <c r="BJ22" s="24">
        <f t="shared" si="17"/>
        <v>20451.20555483988</v>
      </c>
      <c r="BK22" s="24"/>
      <c r="BL22" s="14">
        <f t="shared" si="18"/>
        <v>2217.9507888239823</v>
      </c>
      <c r="BM22" s="2"/>
      <c r="BN22" s="2"/>
      <c r="BO22" s="2"/>
      <c r="BP22" s="42"/>
      <c r="BQ22" s="122">
        <v>16</v>
      </c>
      <c r="BR22" s="5" t="s">
        <v>47</v>
      </c>
      <c r="BS22" s="6">
        <v>15</v>
      </c>
      <c r="BT22" s="2">
        <f t="shared" si="31"/>
        <v>531.2263718037319</v>
      </c>
      <c r="BU22" s="2"/>
      <c r="BV22" s="2"/>
      <c r="BW22" s="24">
        <f t="shared" si="19"/>
        <v>7776.601603152779</v>
      </c>
      <c r="BX22" s="2"/>
      <c r="BY22" s="35">
        <f t="shared" si="20"/>
        <v>9925.426791059384</v>
      </c>
      <c r="BZ22" s="122">
        <v>16</v>
      </c>
      <c r="CA22" s="5" t="s">
        <v>47</v>
      </c>
      <c r="CB22" s="6">
        <v>15</v>
      </c>
      <c r="CC22" s="125">
        <f t="shared" si="1"/>
        <v>227749.86245500384</v>
      </c>
      <c r="CD22" s="112">
        <f t="shared" si="21"/>
        <v>0.8561105124989873</v>
      </c>
      <c r="CE22" s="108">
        <f t="shared" si="22"/>
        <v>159781.88330490474</v>
      </c>
      <c r="CF22" s="108">
        <f t="shared" si="23"/>
        <v>43880.60214813042</v>
      </c>
      <c r="CG22" s="108">
        <f t="shared" si="24"/>
        <v>24087.37700196869</v>
      </c>
      <c r="CH22" s="113">
        <f t="shared" si="25"/>
        <v>131006.10934599524</v>
      </c>
      <c r="CI22" s="114">
        <f t="shared" si="26"/>
        <v>13856.560509361318</v>
      </c>
      <c r="CJ22" s="114">
        <f t="shared" si="27"/>
        <v>28067.74727709257</v>
      </c>
      <c r="CK22" s="115">
        <f t="shared" si="28"/>
        <v>994.746964064364</v>
      </c>
      <c r="CL22" s="122">
        <v>16</v>
      </c>
      <c r="CM22" s="5" t="s">
        <v>47</v>
      </c>
      <c r="CN22" s="6">
        <v>15</v>
      </c>
      <c r="CO22" s="126">
        <v>228870.24</v>
      </c>
      <c r="CP22" s="127">
        <v>218711.56</v>
      </c>
      <c r="CQ22" s="128"/>
      <c r="CR22" s="122">
        <v>16</v>
      </c>
      <c r="CS22" s="5" t="s">
        <v>47</v>
      </c>
      <c r="CT22" s="6">
        <v>15</v>
      </c>
      <c r="CU22" s="129">
        <v>1.37</v>
      </c>
      <c r="CV22" s="130">
        <v>26847.72</v>
      </c>
      <c r="CW22" s="130">
        <v>30505.94</v>
      </c>
      <c r="CX22" s="12" t="s">
        <v>127</v>
      </c>
      <c r="CY22" s="8"/>
      <c r="CZ22" s="64">
        <v>154149</v>
      </c>
      <c r="DA22" s="61"/>
      <c r="DB22" s="122">
        <v>16</v>
      </c>
      <c r="DC22" s="5" t="s">
        <v>47</v>
      </c>
      <c r="DD22" s="6">
        <v>15</v>
      </c>
      <c r="DE22" s="131">
        <v>1.04</v>
      </c>
      <c r="DF22" s="132">
        <v>13166.7</v>
      </c>
      <c r="DG22" s="133">
        <v>12478.66</v>
      </c>
      <c r="DH22" s="16"/>
      <c r="DI22" s="16"/>
      <c r="DJ22" s="16"/>
      <c r="DK22" s="16"/>
      <c r="DL22" s="16"/>
    </row>
    <row r="23" spans="1:116" ht="12" customHeight="1">
      <c r="A23" s="122">
        <v>17</v>
      </c>
      <c r="B23" s="5" t="s">
        <v>47</v>
      </c>
      <c r="C23" s="6" t="s">
        <v>64</v>
      </c>
      <c r="D23" s="2">
        <v>3939.7</v>
      </c>
      <c r="E23" s="36">
        <v>1969</v>
      </c>
      <c r="F23" s="37">
        <v>6</v>
      </c>
      <c r="G23" s="37">
        <v>5</v>
      </c>
      <c r="H23" s="37"/>
      <c r="I23" s="37">
        <v>89</v>
      </c>
      <c r="J23" s="37"/>
      <c r="K23" s="38">
        <v>511.8</v>
      </c>
      <c r="L23" s="39"/>
      <c r="M23" s="40"/>
      <c r="N23" s="40"/>
      <c r="O23" s="40"/>
      <c r="P23" s="37"/>
      <c r="Q23" s="123" t="s">
        <v>48</v>
      </c>
      <c r="R23" s="122">
        <v>17</v>
      </c>
      <c r="S23" s="5" t="s">
        <v>47</v>
      </c>
      <c r="T23" s="6" t="s">
        <v>64</v>
      </c>
      <c r="U23" s="41" t="s">
        <v>49</v>
      </c>
      <c r="V23" s="40">
        <v>1020</v>
      </c>
      <c r="W23" s="3">
        <v>20.6</v>
      </c>
      <c r="X23" s="3">
        <v>946711.44</v>
      </c>
      <c r="Y23" s="3">
        <v>934837.19</v>
      </c>
      <c r="Z23" s="3">
        <f t="shared" si="2"/>
        <v>98.74573713823507</v>
      </c>
      <c r="AA23" s="3">
        <f t="shared" si="29"/>
        <v>-145345.5198539754</v>
      </c>
      <c r="AB23" s="3">
        <f t="shared" si="3"/>
        <v>1080182.7098539753</v>
      </c>
      <c r="AC23" s="107">
        <f t="shared" si="4"/>
        <v>915409.0761474369</v>
      </c>
      <c r="AD23" s="122">
        <v>17</v>
      </c>
      <c r="AE23" s="5" t="s">
        <v>47</v>
      </c>
      <c r="AF23" s="6" t="s">
        <v>64</v>
      </c>
      <c r="AG23" s="124">
        <f t="shared" si="5"/>
        <v>162898.11664368285</v>
      </c>
      <c r="AH23" s="124">
        <f>1.71*82.25/79.4</f>
        <v>1.7713790931989923</v>
      </c>
      <c r="AI23" s="108">
        <f t="shared" si="6"/>
        <v>122162.91623047859</v>
      </c>
      <c r="AJ23" s="108">
        <f t="shared" si="30"/>
        <v>29453.37892957708</v>
      </c>
      <c r="AK23" s="124">
        <f t="shared" si="7"/>
        <v>151616.29516005566</v>
      </c>
      <c r="AL23" s="109">
        <f t="shared" si="8"/>
        <v>11281.821483627204</v>
      </c>
      <c r="AM23" s="122">
        <v>17</v>
      </c>
      <c r="AN23" s="5" t="s">
        <v>47</v>
      </c>
      <c r="AO23" s="6" t="s">
        <v>64</v>
      </c>
      <c r="AP23" s="2">
        <f t="shared" si="9"/>
        <v>374918.7600258603</v>
      </c>
      <c r="AQ23" s="2">
        <f>1.026+0.018</f>
        <v>1.044</v>
      </c>
      <c r="AR23" s="24">
        <f t="shared" si="10"/>
        <v>137543.7584872038</v>
      </c>
      <c r="AS23" s="24">
        <f t="shared" si="11"/>
        <v>37151.171454028445</v>
      </c>
      <c r="AT23" s="110">
        <v>138320.68</v>
      </c>
      <c r="AU23" s="60">
        <f t="shared" si="0"/>
        <v>2388.430242855072</v>
      </c>
      <c r="AV23" s="122">
        <v>17</v>
      </c>
      <c r="AW23" s="5" t="s">
        <v>47</v>
      </c>
      <c r="AX23" s="6" t="s">
        <v>64</v>
      </c>
      <c r="AY23" s="14">
        <f t="shared" si="12"/>
        <v>0</v>
      </c>
      <c r="AZ23" s="7"/>
      <c r="BA23" s="2"/>
      <c r="BB23" s="2"/>
      <c r="BC23" s="25">
        <f t="shared" si="13"/>
        <v>0.21065265151145066</v>
      </c>
      <c r="BD23" s="25">
        <f t="shared" si="14"/>
        <v>33822.41902654732</v>
      </c>
      <c r="BE23" s="24">
        <f t="shared" si="15"/>
        <v>8939.744059184195</v>
      </c>
      <c r="BF23" s="111">
        <f t="shared" si="16"/>
        <v>16752.556756041424</v>
      </c>
      <c r="BG23" s="122">
        <v>17</v>
      </c>
      <c r="BH23" s="5" t="s">
        <v>47</v>
      </c>
      <c r="BI23" s="6" t="s">
        <v>64</v>
      </c>
      <c r="BJ23" s="24">
        <f t="shared" si="17"/>
        <v>30770.269499588096</v>
      </c>
      <c r="BK23" s="24"/>
      <c r="BL23" s="14">
        <f t="shared" si="18"/>
        <v>1915.0654691702118</v>
      </c>
      <c r="BM23" s="2"/>
      <c r="BN23" s="2"/>
      <c r="BO23" s="2"/>
      <c r="BP23" s="42"/>
      <c r="BQ23" s="122">
        <v>17</v>
      </c>
      <c r="BR23" s="5" t="s">
        <v>47</v>
      </c>
      <c r="BS23" s="6" t="s">
        <v>64</v>
      </c>
      <c r="BT23" s="2">
        <f t="shared" si="31"/>
        <v>482.4402764340014</v>
      </c>
      <c r="BU23" s="2"/>
      <c r="BV23" s="2"/>
      <c r="BW23" s="24">
        <f t="shared" si="19"/>
        <v>6714.622016292847</v>
      </c>
      <c r="BX23" s="2">
        <v>13088.14</v>
      </c>
      <c r="BY23" s="35">
        <f t="shared" si="20"/>
        <v>8570.001737691035</v>
      </c>
      <c r="BZ23" s="122">
        <v>17</v>
      </c>
      <c r="CA23" s="5" t="s">
        <v>47</v>
      </c>
      <c r="CB23" s="6" t="s">
        <v>64</v>
      </c>
      <c r="CC23" s="125">
        <f t="shared" si="1"/>
        <v>196648.13998290055</v>
      </c>
      <c r="CD23" s="112">
        <f t="shared" si="21"/>
        <v>0.7391993043947269</v>
      </c>
      <c r="CE23" s="108">
        <f t="shared" si="22"/>
        <v>137961.92812666195</v>
      </c>
      <c r="CF23" s="108">
        <f t="shared" si="23"/>
        <v>37888.22834290116</v>
      </c>
      <c r="CG23" s="108">
        <f t="shared" si="24"/>
        <v>20797.983513337433</v>
      </c>
      <c r="CH23" s="113">
        <f t="shared" si="25"/>
        <v>113115.79928780955</v>
      </c>
      <c r="CI23" s="114">
        <f t="shared" si="26"/>
        <v>11964.296361604886</v>
      </c>
      <c r="CJ23" s="114">
        <f t="shared" si="27"/>
        <v>24234.790906364862</v>
      </c>
      <c r="CK23" s="115">
        <f t="shared" si="28"/>
        <v>858.9034396257505</v>
      </c>
      <c r="CL23" s="122">
        <v>17</v>
      </c>
      <c r="CM23" s="5" t="s">
        <v>47</v>
      </c>
      <c r="CN23" s="6" t="s">
        <v>64</v>
      </c>
      <c r="CO23" s="126">
        <v>197615.16</v>
      </c>
      <c r="CP23" s="127">
        <v>189400.77</v>
      </c>
      <c r="CQ23" s="128"/>
      <c r="CR23" s="122">
        <v>17</v>
      </c>
      <c r="CS23" s="5" t="s">
        <v>47</v>
      </c>
      <c r="CT23" s="6" t="s">
        <v>64</v>
      </c>
      <c r="CU23" s="129">
        <v>1.37</v>
      </c>
      <c r="CV23" s="130">
        <v>20728.81</v>
      </c>
      <c r="CW23" s="130">
        <v>21776.2</v>
      </c>
      <c r="CX23" s="12" t="s">
        <v>123</v>
      </c>
      <c r="CY23" s="8">
        <v>270266</v>
      </c>
      <c r="CZ23" s="64"/>
      <c r="DA23" s="61"/>
      <c r="DB23" s="122">
        <v>17</v>
      </c>
      <c r="DC23" s="5" t="s">
        <v>47</v>
      </c>
      <c r="DD23" s="6" t="s">
        <v>64</v>
      </c>
      <c r="DE23" s="131">
        <v>1.04</v>
      </c>
      <c r="DF23" s="132">
        <v>14918.77</v>
      </c>
      <c r="DG23" s="133">
        <v>13905.36</v>
      </c>
      <c r="DH23" s="16"/>
      <c r="DI23" s="16"/>
      <c r="DJ23" s="16"/>
      <c r="DK23" s="16"/>
      <c r="DL23" s="16"/>
    </row>
    <row r="24" spans="1:116" ht="12" customHeight="1">
      <c r="A24" s="122">
        <v>18</v>
      </c>
      <c r="B24" s="5" t="s">
        <v>47</v>
      </c>
      <c r="C24" s="6" t="s">
        <v>65</v>
      </c>
      <c r="D24" s="2">
        <v>6185.3</v>
      </c>
      <c r="E24" s="36">
        <v>1973</v>
      </c>
      <c r="F24" s="37">
        <v>8</v>
      </c>
      <c r="G24" s="37">
        <v>5</v>
      </c>
      <c r="H24" s="37"/>
      <c r="I24" s="37">
        <v>129</v>
      </c>
      <c r="J24" s="37"/>
      <c r="K24" s="38">
        <v>641.1</v>
      </c>
      <c r="L24" s="39">
        <f>778+340</f>
        <v>1118</v>
      </c>
      <c r="M24" s="40">
        <v>182</v>
      </c>
      <c r="N24" s="40">
        <v>570</v>
      </c>
      <c r="O24" s="40">
        <v>3272</v>
      </c>
      <c r="P24" s="37"/>
      <c r="Q24" s="123" t="s">
        <v>51</v>
      </c>
      <c r="R24" s="122">
        <v>18</v>
      </c>
      <c r="S24" s="5" t="s">
        <v>47</v>
      </c>
      <c r="T24" s="6" t="s">
        <v>65</v>
      </c>
      <c r="U24" s="41" t="s">
        <v>49</v>
      </c>
      <c r="V24" s="40">
        <v>1821</v>
      </c>
      <c r="W24" s="3">
        <v>20.6</v>
      </c>
      <c r="X24" s="3">
        <v>1486131.96</v>
      </c>
      <c r="Y24" s="3">
        <v>1477202.41</v>
      </c>
      <c r="Z24" s="3">
        <f t="shared" si="2"/>
        <v>99.39914151365132</v>
      </c>
      <c r="AA24" s="3">
        <f t="shared" si="29"/>
        <v>40234.09160469496</v>
      </c>
      <c r="AB24" s="3">
        <f t="shared" si="3"/>
        <v>1436968.318395305</v>
      </c>
      <c r="AC24" s="107">
        <f t="shared" si="4"/>
        <v>1217769.7613519535</v>
      </c>
      <c r="AD24" s="122">
        <v>18</v>
      </c>
      <c r="AE24" s="5" t="s">
        <v>47</v>
      </c>
      <c r="AF24" s="6" t="s">
        <v>65</v>
      </c>
      <c r="AG24" s="124">
        <f t="shared" si="5"/>
        <v>174329.5634256957</v>
      </c>
      <c r="AH24" s="124">
        <f>1.83*82.25/79.4</f>
        <v>1.8956863979848866</v>
      </c>
      <c r="AI24" s="108">
        <f t="shared" si="6"/>
        <v>130735.75245717884</v>
      </c>
      <c r="AJ24" s="108">
        <f t="shared" si="30"/>
        <v>31520.282714108802</v>
      </c>
      <c r="AK24" s="124">
        <f t="shared" si="7"/>
        <v>162256.03517128763</v>
      </c>
      <c r="AL24" s="109">
        <f t="shared" si="8"/>
        <v>12073.52825440806</v>
      </c>
      <c r="AM24" s="122">
        <v>18</v>
      </c>
      <c r="AN24" s="5" t="s">
        <v>47</v>
      </c>
      <c r="AO24" s="6" t="s">
        <v>65</v>
      </c>
      <c r="AP24" s="2">
        <f t="shared" si="9"/>
        <v>471229.66796397</v>
      </c>
      <c r="AQ24" s="2">
        <f>2.035+0.02</f>
        <v>2.055</v>
      </c>
      <c r="AR24" s="24">
        <f t="shared" si="10"/>
        <v>270739.869436019</v>
      </c>
      <c r="AS24" s="24">
        <f t="shared" si="11"/>
        <v>73128.0242701422</v>
      </c>
      <c r="AT24" s="110">
        <v>29382.5</v>
      </c>
      <c r="AU24" s="60">
        <f t="shared" si="0"/>
        <v>4541.602192088527</v>
      </c>
      <c r="AV24" s="122">
        <v>18</v>
      </c>
      <c r="AW24" s="5" t="s">
        <v>47</v>
      </c>
      <c r="AX24" s="6" t="s">
        <v>65</v>
      </c>
      <c r="AY24" s="14">
        <f t="shared" si="12"/>
        <v>0</v>
      </c>
      <c r="AZ24" s="7"/>
      <c r="BA24" s="2"/>
      <c r="BB24" s="2"/>
      <c r="BC24" s="25">
        <f t="shared" si="13"/>
        <v>0.33072311226585166</v>
      </c>
      <c r="BD24" s="25">
        <f t="shared" si="14"/>
        <v>53100.94890598349</v>
      </c>
      <c r="BE24" s="24">
        <f t="shared" si="15"/>
        <v>14035.332367762014</v>
      </c>
      <c r="BF24" s="111">
        <f t="shared" si="16"/>
        <v>26301.39079197478</v>
      </c>
      <c r="BG24" s="122">
        <v>18</v>
      </c>
      <c r="BH24" s="5" t="s">
        <v>47</v>
      </c>
      <c r="BI24" s="6" t="s">
        <v>65</v>
      </c>
      <c r="BJ24" s="24">
        <f t="shared" si="17"/>
        <v>27702.65284098066</v>
      </c>
      <c r="BK24" s="24"/>
      <c r="BL24" s="14">
        <f t="shared" si="18"/>
        <v>3006.6386898643327</v>
      </c>
      <c r="BM24" s="2"/>
      <c r="BN24" s="2"/>
      <c r="BO24" s="2"/>
      <c r="BP24" s="42"/>
      <c r="BQ24" s="122">
        <v>18</v>
      </c>
      <c r="BR24" s="5" t="s">
        <v>47</v>
      </c>
      <c r="BS24" s="6" t="s">
        <v>65</v>
      </c>
      <c r="BT24" s="2">
        <f t="shared" si="31"/>
        <v>699.2673669661368</v>
      </c>
      <c r="BU24" s="2"/>
      <c r="BV24" s="2"/>
      <c r="BW24" s="24">
        <f t="shared" si="19"/>
        <v>10541.90713947157</v>
      </c>
      <c r="BX24" s="2"/>
      <c r="BY24" s="35">
        <f t="shared" si="20"/>
        <v>13454.839644678621</v>
      </c>
      <c r="BZ24" s="122">
        <v>18</v>
      </c>
      <c r="CA24" s="5" t="s">
        <v>47</v>
      </c>
      <c r="CB24" s="6" t="s">
        <v>65</v>
      </c>
      <c r="CC24" s="125">
        <f t="shared" si="1"/>
        <v>308736.1322527692</v>
      </c>
      <c r="CD24" s="112">
        <f t="shared" si="21"/>
        <v>1.1605374666783523</v>
      </c>
      <c r="CE24" s="108">
        <f t="shared" si="22"/>
        <v>216599.21162571828</v>
      </c>
      <c r="CF24" s="108">
        <f t="shared" si="23"/>
        <v>59484.23960437256</v>
      </c>
      <c r="CG24" s="108">
        <f t="shared" si="24"/>
        <v>32652.681022678382</v>
      </c>
      <c r="CH24" s="113">
        <f t="shared" si="25"/>
        <v>177590.9722402438</v>
      </c>
      <c r="CI24" s="114">
        <f t="shared" si="26"/>
        <v>18783.85721893411</v>
      </c>
      <c r="CJ24" s="114">
        <f t="shared" si="27"/>
        <v>38048.443331507115</v>
      </c>
      <c r="CK24" s="135">
        <f t="shared" si="28"/>
        <v>1348.4720778529215</v>
      </c>
      <c r="CL24" s="122">
        <v>18</v>
      </c>
      <c r="CM24" s="5" t="s">
        <v>47</v>
      </c>
      <c r="CN24" s="6" t="s">
        <v>65</v>
      </c>
      <c r="CO24" s="126">
        <v>310213.38</v>
      </c>
      <c r="CP24" s="127">
        <v>323802.04</v>
      </c>
      <c r="CQ24" s="128"/>
      <c r="CR24" s="122">
        <v>18</v>
      </c>
      <c r="CS24" s="5" t="s">
        <v>47</v>
      </c>
      <c r="CT24" s="6" t="s">
        <v>65</v>
      </c>
      <c r="CU24" s="129">
        <v>1.37</v>
      </c>
      <c r="CV24" s="130">
        <v>36375.88</v>
      </c>
      <c r="CW24" s="130">
        <v>39299.66</v>
      </c>
      <c r="CX24" s="12" t="s">
        <v>127</v>
      </c>
      <c r="CY24" s="8"/>
      <c r="CZ24" s="64">
        <v>199008</v>
      </c>
      <c r="DA24" s="61"/>
      <c r="DB24" s="122">
        <v>18</v>
      </c>
      <c r="DC24" s="5" t="s">
        <v>47</v>
      </c>
      <c r="DD24" s="6" t="s">
        <v>65</v>
      </c>
      <c r="DE24" s="131">
        <v>1.17</v>
      </c>
      <c r="DF24" s="132">
        <v>20072.07</v>
      </c>
      <c r="DG24" s="133">
        <v>18250.97</v>
      </c>
      <c r="DH24" s="16"/>
      <c r="DI24" s="16"/>
      <c r="DJ24" s="16"/>
      <c r="DK24" s="16"/>
      <c r="DL24" s="16"/>
    </row>
    <row r="25" spans="1:116" ht="12" customHeight="1">
      <c r="A25" s="122">
        <v>19</v>
      </c>
      <c r="B25" s="5" t="s">
        <v>47</v>
      </c>
      <c r="C25" s="6">
        <v>16</v>
      </c>
      <c r="D25" s="2">
        <v>286.3</v>
      </c>
      <c r="E25" s="36">
        <v>1947</v>
      </c>
      <c r="F25" s="37">
        <v>1</v>
      </c>
      <c r="G25" s="37">
        <v>2</v>
      </c>
      <c r="H25" s="37"/>
      <c r="I25" s="37">
        <v>8</v>
      </c>
      <c r="J25" s="37"/>
      <c r="K25" s="38">
        <v>27</v>
      </c>
      <c r="L25" s="39">
        <v>115</v>
      </c>
      <c r="M25" s="40">
        <v>0</v>
      </c>
      <c r="N25" s="40">
        <v>0</v>
      </c>
      <c r="O25" s="40">
        <v>1133</v>
      </c>
      <c r="P25" s="37"/>
      <c r="Q25" s="123" t="s">
        <v>53</v>
      </c>
      <c r="R25" s="122">
        <v>19</v>
      </c>
      <c r="S25" s="5" t="s">
        <v>47</v>
      </c>
      <c r="T25" s="6">
        <v>16</v>
      </c>
      <c r="U25" s="41" t="s">
        <v>52</v>
      </c>
      <c r="V25" s="40">
        <v>233</v>
      </c>
      <c r="W25" s="3">
        <v>13.85</v>
      </c>
      <c r="X25" s="3">
        <v>46397.94</v>
      </c>
      <c r="Y25" s="3">
        <v>49181.16</v>
      </c>
      <c r="Z25" s="3">
        <f t="shared" si="2"/>
        <v>105.998585282019</v>
      </c>
      <c r="AA25" s="3">
        <f t="shared" si="29"/>
        <v>-37413.09616260124</v>
      </c>
      <c r="AB25" s="3">
        <f t="shared" si="3"/>
        <v>86594.25616260125</v>
      </c>
      <c r="AC25" s="107">
        <f t="shared" si="4"/>
        <v>73384.96284966207</v>
      </c>
      <c r="AD25" s="122">
        <v>19</v>
      </c>
      <c r="AE25" s="5" t="s">
        <v>47</v>
      </c>
      <c r="AF25" s="6">
        <v>16</v>
      </c>
      <c r="AG25" s="124">
        <f t="shared" si="5"/>
        <v>19052.41130335472</v>
      </c>
      <c r="AH25" s="124">
        <f>0.2*82.25/79.4</f>
        <v>0.20717884130982364</v>
      </c>
      <c r="AI25" s="108">
        <f t="shared" si="6"/>
        <v>14288.06037783375</v>
      </c>
      <c r="AJ25" s="108">
        <f t="shared" si="30"/>
        <v>3444.8396408862072</v>
      </c>
      <c r="AK25" s="124">
        <f t="shared" si="7"/>
        <v>17732.900018719956</v>
      </c>
      <c r="AL25" s="109">
        <f t="shared" si="8"/>
        <v>1319.5112846347604</v>
      </c>
      <c r="AM25" s="122">
        <v>19</v>
      </c>
      <c r="AN25" s="5" t="s">
        <v>47</v>
      </c>
      <c r="AO25" s="6">
        <v>16</v>
      </c>
      <c r="AP25" s="2">
        <f t="shared" si="9"/>
        <v>27243.55017181389</v>
      </c>
      <c r="AQ25" s="2">
        <f>0.115+0.018</f>
        <v>0.133</v>
      </c>
      <c r="AR25" s="24">
        <f t="shared" si="10"/>
        <v>17522.33704865719</v>
      </c>
      <c r="AS25" s="24">
        <f t="shared" si="11"/>
        <v>4732.859964928912</v>
      </c>
      <c r="AT25" s="110">
        <v>381.06</v>
      </c>
      <c r="AU25" s="60">
        <f t="shared" si="0"/>
        <v>282.32823940158306</v>
      </c>
      <c r="AV25" s="122">
        <v>19</v>
      </c>
      <c r="AW25" s="5" t="s">
        <v>47</v>
      </c>
      <c r="AX25" s="6">
        <v>16</v>
      </c>
      <c r="AY25" s="14">
        <f t="shared" si="12"/>
        <v>0</v>
      </c>
      <c r="AZ25" s="7"/>
      <c r="BA25" s="2"/>
      <c r="BB25" s="2"/>
      <c r="BC25" s="25">
        <f t="shared" si="13"/>
        <v>0.015308235177228806</v>
      </c>
      <c r="BD25" s="25">
        <f t="shared" si="14"/>
        <v>2457.8923692922044</v>
      </c>
      <c r="BE25" s="24">
        <f t="shared" si="15"/>
        <v>649.6557413367605</v>
      </c>
      <c r="BF25" s="111">
        <f t="shared" si="16"/>
        <v>1217.4168081972384</v>
      </c>
      <c r="BG25" s="122">
        <v>19</v>
      </c>
      <c r="BH25" s="5" t="s">
        <v>47</v>
      </c>
      <c r="BI25" s="6">
        <v>16</v>
      </c>
      <c r="BJ25" s="24">
        <f t="shared" si="17"/>
        <v>1885.275569790316</v>
      </c>
      <c r="BK25" s="24"/>
      <c r="BL25" s="14">
        <f t="shared" si="18"/>
        <v>139.1687803191694</v>
      </c>
      <c r="BM25" s="2"/>
      <c r="BN25" s="2"/>
      <c r="BO25" s="2"/>
      <c r="BP25" s="42"/>
      <c r="BQ25" s="122">
        <v>19</v>
      </c>
      <c r="BR25" s="5" t="s">
        <v>47</v>
      </c>
      <c r="BS25" s="6">
        <v>16</v>
      </c>
      <c r="BT25" s="2">
        <f t="shared" si="31"/>
        <v>43.36541810642709</v>
      </c>
      <c r="BU25" s="2">
        <f>(18.5*I25*4)</f>
        <v>592</v>
      </c>
      <c r="BV25" s="2"/>
      <c r="BW25" s="24">
        <f t="shared" si="19"/>
        <v>487.95499232546695</v>
      </c>
      <c r="BX25" s="2"/>
      <c r="BY25" s="35">
        <f t="shared" si="20"/>
        <v>622.7863790392526</v>
      </c>
      <c r="BZ25" s="122">
        <v>19</v>
      </c>
      <c r="CA25" s="5" t="s">
        <v>47</v>
      </c>
      <c r="CB25" s="6">
        <v>16</v>
      </c>
      <c r="CC25" s="125">
        <f t="shared" si="1"/>
        <v>14290.520211463925</v>
      </c>
      <c r="CD25" s="112">
        <f t="shared" si="21"/>
        <v>0.05371798889463927</v>
      </c>
      <c r="CE25" s="108">
        <f t="shared" si="22"/>
        <v>10025.763388751255</v>
      </c>
      <c r="CF25" s="108">
        <f t="shared" si="23"/>
        <v>2753.356797363404</v>
      </c>
      <c r="CG25" s="108">
        <f t="shared" si="24"/>
        <v>1511.400025349267</v>
      </c>
      <c r="CH25" s="113">
        <f t="shared" si="25"/>
        <v>8220.182586516708</v>
      </c>
      <c r="CI25" s="114">
        <f t="shared" si="26"/>
        <v>869.4514933440311</v>
      </c>
      <c r="CJ25" s="114">
        <f t="shared" si="27"/>
        <v>1761.1545641780492</v>
      </c>
      <c r="CK25" s="115">
        <f t="shared" si="28"/>
        <v>62.41694920040926</v>
      </c>
      <c r="CL25" s="122">
        <v>19</v>
      </c>
      <c r="CM25" s="5" t="s">
        <v>47</v>
      </c>
      <c r="CN25" s="6">
        <v>16</v>
      </c>
      <c r="CO25" s="126">
        <v>14360.88</v>
      </c>
      <c r="CP25" s="127">
        <v>13965.82</v>
      </c>
      <c r="CQ25" s="128"/>
      <c r="CR25" s="122">
        <v>19</v>
      </c>
      <c r="CS25" s="5" t="s">
        <v>47</v>
      </c>
      <c r="CT25" s="6">
        <v>16</v>
      </c>
      <c r="CU25" s="129">
        <v>0</v>
      </c>
      <c r="CV25" s="130">
        <v>0</v>
      </c>
      <c r="CW25" s="130">
        <v>-139.38</v>
      </c>
      <c r="CX25" s="12"/>
      <c r="CY25" s="8"/>
      <c r="CZ25" s="64"/>
      <c r="DA25" s="61"/>
      <c r="DB25" s="122">
        <v>19</v>
      </c>
      <c r="DC25" s="5" t="s">
        <v>47</v>
      </c>
      <c r="DD25" s="6">
        <v>16</v>
      </c>
      <c r="DE25" s="131">
        <v>0</v>
      </c>
      <c r="DF25" s="132">
        <v>0</v>
      </c>
      <c r="DG25" s="133">
        <v>14.3</v>
      </c>
      <c r="DH25" s="16"/>
      <c r="DI25" s="16"/>
      <c r="DJ25" s="16"/>
      <c r="DK25" s="16"/>
      <c r="DL25" s="16"/>
    </row>
    <row r="26" spans="1:116" ht="12" customHeight="1">
      <c r="A26" s="122">
        <v>20</v>
      </c>
      <c r="B26" s="5" t="s">
        <v>47</v>
      </c>
      <c r="C26" s="6">
        <v>17</v>
      </c>
      <c r="D26" s="2">
        <v>6176.6</v>
      </c>
      <c r="E26" s="36">
        <v>1974</v>
      </c>
      <c r="F26" s="37">
        <v>8</v>
      </c>
      <c r="G26" s="37">
        <v>5</v>
      </c>
      <c r="H26" s="37"/>
      <c r="I26" s="37">
        <v>129</v>
      </c>
      <c r="J26" s="37"/>
      <c r="K26" s="38">
        <v>628</v>
      </c>
      <c r="L26" s="39">
        <f>999+477</f>
        <v>1476</v>
      </c>
      <c r="M26" s="40">
        <v>240</v>
      </c>
      <c r="N26" s="40">
        <v>0</v>
      </c>
      <c r="O26" s="40">
        <v>4205</v>
      </c>
      <c r="P26" s="37"/>
      <c r="Q26" s="123" t="s">
        <v>51</v>
      </c>
      <c r="R26" s="122">
        <v>20</v>
      </c>
      <c r="S26" s="5" t="s">
        <v>47</v>
      </c>
      <c r="T26" s="6">
        <v>17</v>
      </c>
      <c r="U26" s="41" t="s">
        <v>49</v>
      </c>
      <c r="V26" s="40">
        <v>1704</v>
      </c>
      <c r="W26" s="3">
        <v>20.6</v>
      </c>
      <c r="X26" s="3">
        <v>1484238.78</v>
      </c>
      <c r="Y26" s="3">
        <v>1461966.25</v>
      </c>
      <c r="Z26" s="3">
        <f t="shared" si="2"/>
        <v>98.49939711183129</v>
      </c>
      <c r="AA26" s="3">
        <f t="shared" si="29"/>
        <v>-25114.637302421965</v>
      </c>
      <c r="AB26" s="3">
        <f t="shared" si="3"/>
        <v>1487080.887302422</v>
      </c>
      <c r="AC26" s="107">
        <f t="shared" si="4"/>
        <v>1260238.0400867984</v>
      </c>
      <c r="AD26" s="122">
        <v>20</v>
      </c>
      <c r="AE26" s="5" t="s">
        <v>47</v>
      </c>
      <c r="AF26" s="6">
        <v>17</v>
      </c>
      <c r="AG26" s="124">
        <f t="shared" si="5"/>
        <v>172424.3222953602</v>
      </c>
      <c r="AH26" s="124">
        <f>1.81*82.25/79.4</f>
        <v>1.8749685138539043</v>
      </c>
      <c r="AI26" s="108">
        <f t="shared" si="6"/>
        <v>129306.94641939546</v>
      </c>
      <c r="AJ26" s="108">
        <f t="shared" si="30"/>
        <v>31175.79875002018</v>
      </c>
      <c r="AK26" s="124">
        <f t="shared" si="7"/>
        <v>160482.74516941563</v>
      </c>
      <c r="AL26" s="109">
        <f t="shared" si="8"/>
        <v>11941.577125944585</v>
      </c>
      <c r="AM26" s="122">
        <v>20</v>
      </c>
      <c r="AN26" s="5" t="s">
        <v>47</v>
      </c>
      <c r="AO26" s="6">
        <v>17</v>
      </c>
      <c r="AP26" s="2">
        <f t="shared" si="9"/>
        <v>516407.0531201758</v>
      </c>
      <c r="AQ26" s="2">
        <f>2.021+0.02</f>
        <v>2.041</v>
      </c>
      <c r="AR26" s="24">
        <f t="shared" si="10"/>
        <v>268895.4129045814</v>
      </c>
      <c r="AS26" s="24">
        <f t="shared" si="11"/>
        <v>72629.82848436022</v>
      </c>
      <c r="AT26" s="110">
        <v>69347.77</v>
      </c>
      <c r="AU26" s="60">
        <f t="shared" si="0"/>
        <v>4514.065424486256</v>
      </c>
      <c r="AV26" s="122">
        <v>20</v>
      </c>
      <c r="AW26" s="5" t="s">
        <v>47</v>
      </c>
      <c r="AX26" s="6">
        <v>17</v>
      </c>
      <c r="AY26" s="14">
        <f t="shared" si="12"/>
        <v>7713.73</v>
      </c>
      <c r="AZ26" s="7">
        <v>7713.73</v>
      </c>
      <c r="BA26" s="2"/>
      <c r="BB26" s="2"/>
      <c r="BC26" s="25">
        <f t="shared" si="13"/>
        <v>0.33025793012808746</v>
      </c>
      <c r="BD26" s="25">
        <f t="shared" si="14"/>
        <v>53026.25919724146</v>
      </c>
      <c r="BE26" s="24">
        <f t="shared" si="15"/>
        <v>14015.59082060997</v>
      </c>
      <c r="BF26" s="111">
        <f t="shared" si="16"/>
        <v>26264.396288896485</v>
      </c>
      <c r="BG26" s="122">
        <v>20</v>
      </c>
      <c r="BH26" s="5" t="s">
        <v>47</v>
      </c>
      <c r="BI26" s="6">
        <v>17</v>
      </c>
      <c r="BJ26" s="24">
        <f t="shared" si="17"/>
        <v>27664.67093975939</v>
      </c>
      <c r="BK26" s="24"/>
      <c r="BL26" s="14">
        <f t="shared" si="18"/>
        <v>3002.409669994348</v>
      </c>
      <c r="BM26" s="2"/>
      <c r="BN26" s="2"/>
      <c r="BO26" s="2"/>
      <c r="BP26" s="42"/>
      <c r="BQ26" s="122">
        <v>20</v>
      </c>
      <c r="BR26" s="5" t="s">
        <v>47</v>
      </c>
      <c r="BS26" s="6">
        <v>17</v>
      </c>
      <c r="BT26" s="2">
        <f t="shared" si="31"/>
        <v>699.2673669661368</v>
      </c>
      <c r="BU26" s="2"/>
      <c r="BV26" s="2"/>
      <c r="BW26" s="24">
        <f t="shared" si="19"/>
        <v>10527.079307011803</v>
      </c>
      <c r="BX26" s="2"/>
      <c r="BY26" s="35">
        <f t="shared" si="20"/>
        <v>13435.914595787104</v>
      </c>
      <c r="BZ26" s="122">
        <v>20</v>
      </c>
      <c r="CA26" s="5" t="s">
        <v>47</v>
      </c>
      <c r="CB26" s="6">
        <v>17</v>
      </c>
      <c r="CC26" s="125">
        <f t="shared" si="1"/>
        <v>308301.8761373667</v>
      </c>
      <c r="CD26" s="112">
        <f t="shared" si="21"/>
        <v>1.1589051002676525</v>
      </c>
      <c r="CE26" s="108">
        <f t="shared" si="22"/>
        <v>216294.55168341252</v>
      </c>
      <c r="CF26" s="108">
        <f t="shared" si="23"/>
        <v>59400.57140969193</v>
      </c>
      <c r="CG26" s="108">
        <f t="shared" si="24"/>
        <v>32606.753044262252</v>
      </c>
      <c r="CH26" s="113">
        <f t="shared" si="25"/>
        <v>177341.17975507895</v>
      </c>
      <c r="CI26" s="114">
        <f t="shared" si="26"/>
        <v>18757.436583264905</v>
      </c>
      <c r="CJ26" s="114">
        <f t="shared" si="27"/>
        <v>37994.925885791614</v>
      </c>
      <c r="CK26" s="135">
        <f t="shared" si="28"/>
        <v>1346.5753700008659</v>
      </c>
      <c r="CL26" s="122">
        <v>20</v>
      </c>
      <c r="CM26" s="5" t="s">
        <v>47</v>
      </c>
      <c r="CN26" s="6">
        <v>17</v>
      </c>
      <c r="CO26" s="126">
        <v>309818.52</v>
      </c>
      <c r="CP26" s="127">
        <v>337904.6</v>
      </c>
      <c r="CQ26" s="128"/>
      <c r="CR26" s="122">
        <v>20</v>
      </c>
      <c r="CS26" s="5" t="s">
        <v>47</v>
      </c>
      <c r="CT26" s="6">
        <v>17</v>
      </c>
      <c r="CU26" s="129">
        <v>1.37</v>
      </c>
      <c r="CV26" s="130">
        <v>33746.4</v>
      </c>
      <c r="CW26" s="130">
        <v>35543.86</v>
      </c>
      <c r="CX26" s="12"/>
      <c r="CY26" s="8"/>
      <c r="CZ26" s="64"/>
      <c r="DA26" s="47"/>
      <c r="DB26" s="122">
        <v>20</v>
      </c>
      <c r="DC26" s="5" t="s">
        <v>47</v>
      </c>
      <c r="DD26" s="6">
        <v>17</v>
      </c>
      <c r="DE26" s="131">
        <v>1.17</v>
      </c>
      <c r="DF26" s="132">
        <v>24054.59</v>
      </c>
      <c r="DG26" s="133">
        <v>23203.48</v>
      </c>
      <c r="DH26" s="16"/>
      <c r="DI26" s="16"/>
      <c r="DJ26" s="16"/>
      <c r="DK26" s="16"/>
      <c r="DL26" s="16"/>
    </row>
    <row r="27" spans="1:116" ht="12" customHeight="1">
      <c r="A27" s="122">
        <v>21</v>
      </c>
      <c r="B27" s="5" t="s">
        <v>47</v>
      </c>
      <c r="C27" s="6" t="s">
        <v>66</v>
      </c>
      <c r="D27" s="3">
        <v>11163.4</v>
      </c>
      <c r="E27" s="36">
        <v>1982</v>
      </c>
      <c r="F27" s="37">
        <v>6</v>
      </c>
      <c r="G27" s="37">
        <v>9</v>
      </c>
      <c r="H27" s="37">
        <v>6</v>
      </c>
      <c r="I27" s="37">
        <v>216</v>
      </c>
      <c r="J27" s="37"/>
      <c r="K27" s="45">
        <v>1269.3</v>
      </c>
      <c r="L27" s="39">
        <f>1226+1060</f>
        <v>2286</v>
      </c>
      <c r="M27" s="40"/>
      <c r="N27" s="40">
        <v>9688</v>
      </c>
      <c r="O27" s="40">
        <v>1423</v>
      </c>
      <c r="P27" s="37"/>
      <c r="Q27" s="123" t="s">
        <v>48</v>
      </c>
      <c r="R27" s="122">
        <v>21</v>
      </c>
      <c r="S27" s="5" t="s">
        <v>47</v>
      </c>
      <c r="T27" s="6" t="s">
        <v>66</v>
      </c>
      <c r="U27" s="41" t="s">
        <v>49</v>
      </c>
      <c r="V27" s="40">
        <v>1883</v>
      </c>
      <c r="W27" s="3">
        <v>26.34</v>
      </c>
      <c r="X27" s="3">
        <v>3440636.01</v>
      </c>
      <c r="Y27" s="3">
        <v>3328338.22</v>
      </c>
      <c r="Z27" s="3">
        <f t="shared" si="2"/>
        <v>96.73613280586459</v>
      </c>
      <c r="AA27" s="3">
        <f t="shared" si="29"/>
        <v>-92307.62030037073</v>
      </c>
      <c r="AB27" s="3">
        <f t="shared" si="3"/>
        <v>3420645.840300371</v>
      </c>
      <c r="AC27" s="107">
        <f t="shared" si="4"/>
        <v>2898852.4070342127</v>
      </c>
      <c r="AD27" s="122">
        <v>21</v>
      </c>
      <c r="AE27" s="5" t="s">
        <v>47</v>
      </c>
      <c r="AF27" s="6" t="s">
        <v>66</v>
      </c>
      <c r="AG27" s="124">
        <f t="shared" si="5"/>
        <v>598245.7149253383</v>
      </c>
      <c r="AH27" s="124">
        <f>6.28*82.25/79.4</f>
        <v>6.505415617128462</v>
      </c>
      <c r="AI27" s="108">
        <f t="shared" si="6"/>
        <v>448645.0958639798</v>
      </c>
      <c r="AJ27" s="108">
        <f t="shared" si="30"/>
        <v>108167.96472382692</v>
      </c>
      <c r="AK27" s="124">
        <f t="shared" si="7"/>
        <v>556813.0605878067</v>
      </c>
      <c r="AL27" s="109">
        <f t="shared" si="8"/>
        <v>41432.65433753148</v>
      </c>
      <c r="AM27" s="122">
        <v>21</v>
      </c>
      <c r="AN27" s="5" t="s">
        <v>47</v>
      </c>
      <c r="AO27" s="6" t="s">
        <v>66</v>
      </c>
      <c r="AP27" s="2">
        <f t="shared" si="9"/>
        <v>632555.8488215174</v>
      </c>
      <c r="AQ27" s="2">
        <f>2.417+0.02</f>
        <v>2.437</v>
      </c>
      <c r="AR27" s="24">
        <f t="shared" si="10"/>
        <v>321067.1833652449</v>
      </c>
      <c r="AS27" s="24">
        <f t="shared" si="11"/>
        <v>86721.65213933651</v>
      </c>
      <c r="AT27" s="110">
        <v>47986.08</v>
      </c>
      <c r="AU27" s="60">
        <f t="shared" si="0"/>
        <v>5775.506223591778</v>
      </c>
      <c r="AV27" s="122">
        <v>21</v>
      </c>
      <c r="AW27" s="5" t="s">
        <v>47</v>
      </c>
      <c r="AX27" s="6" t="s">
        <v>66</v>
      </c>
      <c r="AY27" s="14">
        <f t="shared" si="12"/>
        <v>2366.54</v>
      </c>
      <c r="AZ27" s="2">
        <v>2366.54</v>
      </c>
      <c r="BA27" s="2"/>
      <c r="BB27" s="2"/>
      <c r="BC27" s="25">
        <f t="shared" si="13"/>
        <v>0.5968981927260777</v>
      </c>
      <c r="BD27" s="25">
        <f t="shared" si="14"/>
        <v>95838.0568472113</v>
      </c>
      <c r="BE27" s="24">
        <f t="shared" si="15"/>
        <v>25331.354882426793</v>
      </c>
      <c r="BF27" s="111">
        <f t="shared" si="16"/>
        <v>47469.475363706086</v>
      </c>
      <c r="BG27" s="122">
        <v>21</v>
      </c>
      <c r="BH27" s="5" t="s">
        <v>47</v>
      </c>
      <c r="BI27" s="6" t="s">
        <v>66</v>
      </c>
      <c r="BJ27" s="24">
        <f t="shared" si="17"/>
        <v>685308.0118230791</v>
      </c>
      <c r="BK27" s="24"/>
      <c r="BL27" s="14">
        <f t="shared" si="18"/>
        <v>5426.464415700369</v>
      </c>
      <c r="BM27" s="2">
        <f>28000/37*6</f>
        <v>4540.540540540541</v>
      </c>
      <c r="BN27" s="2">
        <f>141316.88/37*6</f>
        <v>22916.250810810812</v>
      </c>
      <c r="BO27" s="2">
        <f>35936.8/37*6</f>
        <v>5827.58918918919</v>
      </c>
      <c r="BP27" s="42">
        <f>3713050.58/37*6</f>
        <v>602116.3102702703</v>
      </c>
      <c r="BQ27" s="122">
        <v>21</v>
      </c>
      <c r="BR27" s="5" t="s">
        <v>47</v>
      </c>
      <c r="BS27" s="6" t="s">
        <v>66</v>
      </c>
      <c r="BT27" s="2">
        <f t="shared" si="31"/>
        <v>1170.8662888735314</v>
      </c>
      <c r="BU27" s="2"/>
      <c r="BV27" s="2"/>
      <c r="BW27" s="24">
        <f t="shared" si="19"/>
        <v>19026.324699008444</v>
      </c>
      <c r="BX27" s="2"/>
      <c r="BY27" s="35">
        <f t="shared" si="20"/>
        <v>24283.665608685966</v>
      </c>
      <c r="BZ27" s="122">
        <v>21</v>
      </c>
      <c r="CA27" s="5" t="s">
        <v>47</v>
      </c>
      <c r="CB27" s="6" t="s">
        <v>66</v>
      </c>
      <c r="CC27" s="125">
        <f t="shared" si="1"/>
        <v>557215.4849062396</v>
      </c>
      <c r="CD27" s="112">
        <f t="shared" si="21"/>
        <v>2.094570021747873</v>
      </c>
      <c r="CE27" s="108">
        <f t="shared" si="22"/>
        <v>390924.22987770085</v>
      </c>
      <c r="CF27" s="108">
        <f t="shared" si="23"/>
        <v>107358.79591926867</v>
      </c>
      <c r="CG27" s="108">
        <f t="shared" si="24"/>
        <v>58932.45910927002</v>
      </c>
      <c r="CH27" s="113">
        <f t="shared" si="25"/>
        <v>320521.0837803724</v>
      </c>
      <c r="CI27" s="114">
        <f t="shared" si="26"/>
        <v>33901.62347466558</v>
      </c>
      <c r="CJ27" s="114">
        <f t="shared" si="27"/>
        <v>68670.87971269728</v>
      </c>
      <c r="CK27" s="135">
        <f t="shared" si="28"/>
        <v>2433.759590303349</v>
      </c>
      <c r="CL27" s="122">
        <v>21</v>
      </c>
      <c r="CM27" s="5" t="s">
        <v>47</v>
      </c>
      <c r="CN27" s="6" t="s">
        <v>66</v>
      </c>
      <c r="CO27" s="126">
        <v>559827.06</v>
      </c>
      <c r="CP27" s="127">
        <v>542579.16</v>
      </c>
      <c r="CQ27" s="128"/>
      <c r="CR27" s="122">
        <v>21</v>
      </c>
      <c r="CS27" s="5" t="s">
        <v>47</v>
      </c>
      <c r="CT27" s="6" t="s">
        <v>66</v>
      </c>
      <c r="CU27" s="129">
        <v>1.37</v>
      </c>
      <c r="CV27" s="130">
        <v>68860.13</v>
      </c>
      <c r="CW27" s="130">
        <v>75025.72</v>
      </c>
      <c r="CX27" s="12" t="s">
        <v>125</v>
      </c>
      <c r="CY27" s="8">
        <v>112381</v>
      </c>
      <c r="CZ27" s="64"/>
      <c r="DA27" s="61"/>
      <c r="DB27" s="122">
        <v>21</v>
      </c>
      <c r="DC27" s="5" t="s">
        <v>47</v>
      </c>
      <c r="DD27" s="6" t="s">
        <v>66</v>
      </c>
      <c r="DE27" s="131">
        <v>1.31</v>
      </c>
      <c r="DF27" s="132">
        <v>38360.34</v>
      </c>
      <c r="DG27" s="133">
        <v>35380.67</v>
      </c>
      <c r="DH27" s="16"/>
      <c r="DI27" s="16"/>
      <c r="DJ27" s="16"/>
      <c r="DK27" s="16"/>
      <c r="DL27" s="16"/>
    </row>
    <row r="28" spans="1:116" ht="12" customHeight="1">
      <c r="A28" s="122">
        <v>22</v>
      </c>
      <c r="B28" s="5" t="s">
        <v>47</v>
      </c>
      <c r="C28" s="6" t="s">
        <v>67</v>
      </c>
      <c r="D28" s="2">
        <v>1906.2</v>
      </c>
      <c r="E28" s="36">
        <v>1959</v>
      </c>
      <c r="F28" s="37">
        <v>4</v>
      </c>
      <c r="G28" s="37">
        <v>3</v>
      </c>
      <c r="H28" s="37"/>
      <c r="I28" s="37">
        <v>30</v>
      </c>
      <c r="J28" s="37"/>
      <c r="K28" s="38">
        <v>202.6</v>
      </c>
      <c r="L28" s="39">
        <f>362+226</f>
        <v>588</v>
      </c>
      <c r="M28" s="40">
        <v>0</v>
      </c>
      <c r="N28" s="40">
        <v>0</v>
      </c>
      <c r="O28" s="40">
        <v>2317</v>
      </c>
      <c r="P28" s="37"/>
      <c r="Q28" s="123" t="s">
        <v>51</v>
      </c>
      <c r="R28" s="122">
        <v>22</v>
      </c>
      <c r="S28" s="5" t="s">
        <v>47</v>
      </c>
      <c r="T28" s="6" t="s">
        <v>67</v>
      </c>
      <c r="U28" s="41" t="s">
        <v>52</v>
      </c>
      <c r="V28" s="40">
        <v>1098</v>
      </c>
      <c r="W28" s="3">
        <v>20.6</v>
      </c>
      <c r="X28" s="3">
        <v>458060.34</v>
      </c>
      <c r="Y28" s="3">
        <v>428426.13</v>
      </c>
      <c r="Z28" s="3">
        <f t="shared" si="2"/>
        <v>93.53050080694608</v>
      </c>
      <c r="AA28" s="3">
        <f t="shared" si="29"/>
        <v>-74515.13361683395</v>
      </c>
      <c r="AB28" s="3">
        <f t="shared" si="3"/>
        <v>502941.26361683395</v>
      </c>
      <c r="AC28" s="107">
        <f t="shared" si="4"/>
        <v>426221.4098447746</v>
      </c>
      <c r="AD28" s="122">
        <v>22</v>
      </c>
      <c r="AE28" s="5" t="s">
        <v>47</v>
      </c>
      <c r="AF28" s="6" t="s">
        <v>67</v>
      </c>
      <c r="AG28" s="124">
        <f t="shared" si="5"/>
        <v>66683.43956174151</v>
      </c>
      <c r="AH28" s="124">
        <f>0.7*82.25/79.4</f>
        <v>0.7251259445843827</v>
      </c>
      <c r="AI28" s="108">
        <f t="shared" si="6"/>
        <v>50008.21132241812</v>
      </c>
      <c r="AJ28" s="108">
        <f t="shared" si="30"/>
        <v>12056.938743101726</v>
      </c>
      <c r="AK28" s="124">
        <f t="shared" si="7"/>
        <v>62065.15006551985</v>
      </c>
      <c r="AL28" s="109">
        <f t="shared" si="8"/>
        <v>4618.2894962216615</v>
      </c>
      <c r="AM28" s="122">
        <v>22</v>
      </c>
      <c r="AN28" s="5" t="s">
        <v>47</v>
      </c>
      <c r="AO28" s="6" t="s">
        <v>67</v>
      </c>
      <c r="AP28" s="2">
        <f t="shared" si="9"/>
        <v>173008.74275219327</v>
      </c>
      <c r="AQ28" s="2">
        <f>0.612+0.018</f>
        <v>0.63</v>
      </c>
      <c r="AR28" s="24">
        <f t="shared" si="10"/>
        <v>83000.54391469195</v>
      </c>
      <c r="AS28" s="24">
        <f t="shared" si="11"/>
        <v>22418.81036018958</v>
      </c>
      <c r="AT28" s="110">
        <v>37400.22</v>
      </c>
      <c r="AU28" s="60">
        <f t="shared" si="0"/>
        <v>1393.3314941943272</v>
      </c>
      <c r="AV28" s="122">
        <v>22</v>
      </c>
      <c r="AW28" s="5" t="s">
        <v>47</v>
      </c>
      <c r="AX28" s="6" t="s">
        <v>67</v>
      </c>
      <c r="AY28" s="14">
        <f t="shared" si="12"/>
        <v>0</v>
      </c>
      <c r="AZ28" s="7"/>
      <c r="BA28" s="2"/>
      <c r="BB28" s="2"/>
      <c r="BC28" s="25">
        <f t="shared" si="13"/>
        <v>0.10192301046047346</v>
      </c>
      <c r="BD28" s="25">
        <f t="shared" si="14"/>
        <v>16364.772736097802</v>
      </c>
      <c r="BE28" s="24">
        <f t="shared" si="15"/>
        <v>4325.441055313074</v>
      </c>
      <c r="BF28" s="111">
        <f t="shared" si="16"/>
        <v>8105.623191706518</v>
      </c>
      <c r="BG28" s="122">
        <v>22</v>
      </c>
      <c r="BH28" s="5" t="s">
        <v>47</v>
      </c>
      <c r="BI28" s="6" t="s">
        <v>67</v>
      </c>
      <c r="BJ28" s="24">
        <f t="shared" si="17"/>
        <v>18721.535847552714</v>
      </c>
      <c r="BK28" s="24"/>
      <c r="BL28" s="14">
        <f t="shared" si="18"/>
        <v>926.5928363409037</v>
      </c>
      <c r="BM28" s="2"/>
      <c r="BN28" s="2"/>
      <c r="BO28" s="2"/>
      <c r="BP28" s="42"/>
      <c r="BQ28" s="122">
        <v>22</v>
      </c>
      <c r="BR28" s="5" t="s">
        <v>47</v>
      </c>
      <c r="BS28" s="6" t="s">
        <v>67</v>
      </c>
      <c r="BT28" s="2">
        <f t="shared" si="31"/>
        <v>162.6203178991016</v>
      </c>
      <c r="BU28" s="2">
        <f>18.5*I28*4</f>
        <v>2220</v>
      </c>
      <c r="BV28" s="2"/>
      <c r="BW28" s="24">
        <f t="shared" si="19"/>
        <v>3248.8292223919143</v>
      </c>
      <c r="BX28" s="2">
        <v>8016.95</v>
      </c>
      <c r="BY28" s="35">
        <f t="shared" si="20"/>
        <v>4146.543470920794</v>
      </c>
      <c r="BZ28" s="122">
        <v>22</v>
      </c>
      <c r="CA28" s="5" t="s">
        <v>47</v>
      </c>
      <c r="CB28" s="6" t="s">
        <v>67</v>
      </c>
      <c r="CC28" s="125">
        <f t="shared" si="1"/>
        <v>95147.01231956876</v>
      </c>
      <c r="CD28" s="112">
        <f t="shared" si="21"/>
        <v>0.35765710943402507</v>
      </c>
      <c r="CE28" s="108">
        <f t="shared" si="22"/>
        <v>66752.04391071478</v>
      </c>
      <c r="CF28" s="108">
        <f t="shared" si="23"/>
        <v>18331.989965540066</v>
      </c>
      <c r="CG28" s="108">
        <f t="shared" si="24"/>
        <v>10062.978443313912</v>
      </c>
      <c r="CH28" s="113">
        <f t="shared" si="25"/>
        <v>54730.39485301485</v>
      </c>
      <c r="CI28" s="114">
        <f t="shared" si="26"/>
        <v>5788.852380762808</v>
      </c>
      <c r="CJ28" s="114">
        <f t="shared" si="27"/>
        <v>11725.856899183365</v>
      </c>
      <c r="CK28" s="115">
        <f t="shared" si="28"/>
        <v>415.57523075731797</v>
      </c>
      <c r="CL28" s="122">
        <v>22</v>
      </c>
      <c r="CM28" s="5" t="s">
        <v>47</v>
      </c>
      <c r="CN28" s="6" t="s">
        <v>67</v>
      </c>
      <c r="CO28" s="126">
        <v>95615.16</v>
      </c>
      <c r="CP28" s="127">
        <v>87842.76</v>
      </c>
      <c r="CQ28" s="128"/>
      <c r="CR28" s="122">
        <v>22</v>
      </c>
      <c r="CS28" s="5" t="s">
        <v>47</v>
      </c>
      <c r="CT28" s="6" t="s">
        <v>67</v>
      </c>
      <c r="CU28" s="129">
        <v>0</v>
      </c>
      <c r="CV28" s="130">
        <v>0</v>
      </c>
      <c r="CW28" s="130">
        <v>89.13</v>
      </c>
      <c r="CX28" s="12"/>
      <c r="CY28" s="8"/>
      <c r="CZ28" s="64"/>
      <c r="DA28" s="61"/>
      <c r="DB28" s="122">
        <v>22</v>
      </c>
      <c r="DC28" s="5" t="s">
        <v>47</v>
      </c>
      <c r="DD28" s="6" t="s">
        <v>67</v>
      </c>
      <c r="DE28" s="131">
        <v>0</v>
      </c>
      <c r="DF28" s="132">
        <v>0</v>
      </c>
      <c r="DG28" s="133">
        <v>-89.9</v>
      </c>
      <c r="DH28" s="16"/>
      <c r="DI28" s="16"/>
      <c r="DJ28" s="16"/>
      <c r="DK28" s="16"/>
      <c r="DL28" s="16"/>
    </row>
    <row r="29" spans="1:116" ht="12" customHeight="1">
      <c r="A29" s="122">
        <v>23</v>
      </c>
      <c r="B29" s="5" t="s">
        <v>47</v>
      </c>
      <c r="C29" s="6">
        <v>24</v>
      </c>
      <c r="D29" s="2">
        <v>421.8</v>
      </c>
      <c r="E29" s="36">
        <v>1953</v>
      </c>
      <c r="F29" s="37">
        <v>2</v>
      </c>
      <c r="G29" s="37">
        <v>2</v>
      </c>
      <c r="H29" s="37"/>
      <c r="I29" s="37">
        <v>8</v>
      </c>
      <c r="J29" s="37"/>
      <c r="K29" s="38">
        <v>60.8</v>
      </c>
      <c r="L29" s="39">
        <f>77+136+108</f>
        <v>321</v>
      </c>
      <c r="M29" s="40">
        <v>0</v>
      </c>
      <c r="N29" s="40">
        <v>0</v>
      </c>
      <c r="O29" s="40">
        <v>695</v>
      </c>
      <c r="P29" s="37"/>
      <c r="Q29" s="123" t="s">
        <v>53</v>
      </c>
      <c r="R29" s="122">
        <v>23</v>
      </c>
      <c r="S29" s="5" t="s">
        <v>47</v>
      </c>
      <c r="T29" s="6">
        <v>24</v>
      </c>
      <c r="U29" s="41" t="s">
        <v>52</v>
      </c>
      <c r="V29" s="40">
        <v>358</v>
      </c>
      <c r="W29" s="3">
        <v>13.85</v>
      </c>
      <c r="X29" s="3">
        <v>68356.92</v>
      </c>
      <c r="Y29" s="3">
        <v>70704.24</v>
      </c>
      <c r="Z29" s="3">
        <f t="shared" si="2"/>
        <v>103.43391715132866</v>
      </c>
      <c r="AA29" s="3">
        <f t="shared" si="29"/>
        <v>-53376.257419982416</v>
      </c>
      <c r="AB29" s="3">
        <f t="shared" si="3"/>
        <v>124080.49741998242</v>
      </c>
      <c r="AC29" s="107">
        <f t="shared" si="4"/>
        <v>105152.96391523935</v>
      </c>
      <c r="AD29" s="122">
        <v>23</v>
      </c>
      <c r="AE29" s="5" t="s">
        <v>47</v>
      </c>
      <c r="AF29" s="6">
        <v>24</v>
      </c>
      <c r="AG29" s="124">
        <f t="shared" si="5"/>
        <v>23815.514129193405</v>
      </c>
      <c r="AH29" s="124">
        <f>0.25*82.25/79.4</f>
        <v>0.2589735516372796</v>
      </c>
      <c r="AI29" s="108">
        <f t="shared" si="6"/>
        <v>17860.075472292192</v>
      </c>
      <c r="AJ29" s="108">
        <f t="shared" si="30"/>
        <v>4306.04955110776</v>
      </c>
      <c r="AK29" s="124">
        <f t="shared" si="7"/>
        <v>22166.125023399953</v>
      </c>
      <c r="AL29" s="109">
        <f t="shared" si="8"/>
        <v>1649.3891057934507</v>
      </c>
      <c r="AM29" s="122">
        <v>23</v>
      </c>
      <c r="AN29" s="5" t="s">
        <v>47</v>
      </c>
      <c r="AO29" s="6">
        <v>24</v>
      </c>
      <c r="AP29" s="2">
        <f t="shared" si="9"/>
        <v>42320.477499605455</v>
      </c>
      <c r="AQ29" s="2">
        <f>0.153+0.018</f>
        <v>0.17099999999999999</v>
      </c>
      <c r="AR29" s="24">
        <f t="shared" si="10"/>
        <v>22528.71906255924</v>
      </c>
      <c r="AS29" s="24">
        <f t="shared" si="11"/>
        <v>6085.105669194313</v>
      </c>
      <c r="AT29" s="110">
        <v>6966.31</v>
      </c>
      <c r="AU29" s="60">
        <f t="shared" si="0"/>
        <v>368.4594190538102</v>
      </c>
      <c r="AV29" s="122">
        <v>23</v>
      </c>
      <c r="AW29" s="5" t="s">
        <v>47</v>
      </c>
      <c r="AX29" s="6">
        <v>24</v>
      </c>
      <c r="AY29" s="14">
        <f t="shared" si="12"/>
        <v>0</v>
      </c>
      <c r="AZ29" s="7"/>
      <c r="BA29" s="2"/>
      <c r="BB29" s="2"/>
      <c r="BC29" s="25">
        <f t="shared" si="13"/>
        <v>0.022553313299878135</v>
      </c>
      <c r="BD29" s="25">
        <f t="shared" si="14"/>
        <v>3621.1631203892834</v>
      </c>
      <c r="BE29" s="24">
        <f t="shared" si="15"/>
        <v>957.124665371448</v>
      </c>
      <c r="BF29" s="111">
        <f t="shared" si="16"/>
        <v>1793.5955630373567</v>
      </c>
      <c r="BG29" s="122">
        <v>23</v>
      </c>
      <c r="BH29" s="5" t="s">
        <v>47</v>
      </c>
      <c r="BI29" s="6">
        <v>24</v>
      </c>
      <c r="BJ29" s="24">
        <f t="shared" si="17"/>
        <v>1884.8327669721775</v>
      </c>
      <c r="BK29" s="24"/>
      <c r="BL29" s="14">
        <f t="shared" si="18"/>
        <v>205.03454955859468</v>
      </c>
      <c r="BM29" s="2"/>
      <c r="BN29" s="2"/>
      <c r="BO29" s="2"/>
      <c r="BP29" s="42"/>
      <c r="BQ29" s="122">
        <v>23</v>
      </c>
      <c r="BR29" s="5" t="s">
        <v>47</v>
      </c>
      <c r="BS29" s="6">
        <v>24</v>
      </c>
      <c r="BT29" s="2">
        <f t="shared" si="31"/>
        <v>43.36541810642709</v>
      </c>
      <c r="BU29" s="2"/>
      <c r="BV29" s="2"/>
      <c r="BW29" s="24">
        <f t="shared" si="19"/>
        <v>718.8942220149562</v>
      </c>
      <c r="BX29" s="2"/>
      <c r="BY29" s="35">
        <f t="shared" si="20"/>
        <v>917.5385772921996</v>
      </c>
      <c r="BZ29" s="122">
        <v>23</v>
      </c>
      <c r="CA29" s="5" t="s">
        <v>47</v>
      </c>
      <c r="CB29" s="6">
        <v>24</v>
      </c>
      <c r="CC29" s="125">
        <f t="shared" si="1"/>
        <v>21053.93442261783</v>
      </c>
      <c r="CD29" s="112">
        <f t="shared" si="21"/>
        <v>0.07914162667048147</v>
      </c>
      <c r="CE29" s="108">
        <f t="shared" si="22"/>
        <v>14770.754444202863</v>
      </c>
      <c r="CF29" s="108">
        <f t="shared" si="23"/>
        <v>4056.4648869293883</v>
      </c>
      <c r="CG29" s="108">
        <f t="shared" si="24"/>
        <v>2226.7150914855774</v>
      </c>
      <c r="CH29" s="113">
        <f t="shared" si="25"/>
        <v>12110.628763509423</v>
      </c>
      <c r="CI29" s="114">
        <f t="shared" si="26"/>
        <v>1280.945301755195</v>
      </c>
      <c r="CJ29" s="114">
        <f t="shared" si="27"/>
        <v>2594.6734026206814</v>
      </c>
      <c r="CK29" s="115">
        <f t="shared" si="28"/>
        <v>91.95762896518556</v>
      </c>
      <c r="CL29" s="122">
        <v>23</v>
      </c>
      <c r="CM29" s="5" t="s">
        <v>47</v>
      </c>
      <c r="CN29" s="6">
        <v>24</v>
      </c>
      <c r="CO29" s="126">
        <v>21157.44</v>
      </c>
      <c r="CP29" s="127">
        <v>21319.26</v>
      </c>
      <c r="CQ29" s="128"/>
      <c r="CR29" s="122">
        <v>23</v>
      </c>
      <c r="CS29" s="5" t="s">
        <v>47</v>
      </c>
      <c r="CT29" s="6">
        <v>24</v>
      </c>
      <c r="CU29" s="129">
        <v>0</v>
      </c>
      <c r="CV29" s="130">
        <v>0</v>
      </c>
      <c r="CW29" s="130">
        <v>43.92</v>
      </c>
      <c r="CX29" s="12"/>
      <c r="CY29" s="8"/>
      <c r="CZ29" s="64"/>
      <c r="DA29" s="61"/>
      <c r="DB29" s="122">
        <v>23</v>
      </c>
      <c r="DC29" s="5" t="s">
        <v>47</v>
      </c>
      <c r="DD29" s="6">
        <v>24</v>
      </c>
      <c r="DE29" s="131">
        <v>0</v>
      </c>
      <c r="DF29" s="131">
        <v>0</v>
      </c>
      <c r="DG29" s="133">
        <v>0</v>
      </c>
      <c r="DH29" s="16"/>
      <c r="DI29" s="16"/>
      <c r="DJ29" s="16"/>
      <c r="DK29" s="16"/>
      <c r="DL29" s="16"/>
    </row>
    <row r="30" spans="1:116" ht="12" customHeight="1">
      <c r="A30" s="122">
        <v>24</v>
      </c>
      <c r="B30" s="5" t="s">
        <v>47</v>
      </c>
      <c r="C30" s="6">
        <v>26</v>
      </c>
      <c r="D30" s="2">
        <v>375.7</v>
      </c>
      <c r="E30" s="36">
        <v>1953</v>
      </c>
      <c r="F30" s="37">
        <v>2</v>
      </c>
      <c r="G30" s="37">
        <v>2</v>
      </c>
      <c r="H30" s="37"/>
      <c r="I30" s="37">
        <v>8</v>
      </c>
      <c r="J30" s="37"/>
      <c r="K30" s="38">
        <v>60.8</v>
      </c>
      <c r="L30" s="39">
        <f>77+159+107</f>
        <v>343</v>
      </c>
      <c r="M30" s="40">
        <v>0</v>
      </c>
      <c r="N30" s="40">
        <v>0</v>
      </c>
      <c r="O30" s="40">
        <v>674</v>
      </c>
      <c r="P30" s="37"/>
      <c r="Q30" s="123" t="s">
        <v>53</v>
      </c>
      <c r="R30" s="122">
        <v>24</v>
      </c>
      <c r="S30" s="5" t="s">
        <v>47</v>
      </c>
      <c r="T30" s="6">
        <v>26</v>
      </c>
      <c r="U30" s="41" t="s">
        <v>52</v>
      </c>
      <c r="V30" s="40">
        <v>359</v>
      </c>
      <c r="W30" s="3">
        <v>13.85</v>
      </c>
      <c r="X30" s="3">
        <v>60886.14</v>
      </c>
      <c r="Y30" s="3">
        <v>77297.27</v>
      </c>
      <c r="Z30" s="3">
        <f t="shared" si="2"/>
        <v>126.95380262240307</v>
      </c>
      <c r="AA30" s="3">
        <f t="shared" si="29"/>
        <v>-44954.376174133184</v>
      </c>
      <c r="AB30" s="3">
        <f t="shared" si="3"/>
        <v>122251.64617413319</v>
      </c>
      <c r="AC30" s="107">
        <f t="shared" si="4"/>
        <v>103603.08997807898</v>
      </c>
      <c r="AD30" s="122">
        <v>24</v>
      </c>
      <c r="AE30" s="5" t="s">
        <v>47</v>
      </c>
      <c r="AF30" s="6">
        <v>26</v>
      </c>
      <c r="AG30" s="124">
        <f t="shared" si="5"/>
        <v>23815.514129193405</v>
      </c>
      <c r="AH30" s="124">
        <f>0.25*82.25/79.4</f>
        <v>0.2589735516372796</v>
      </c>
      <c r="AI30" s="108">
        <f t="shared" si="6"/>
        <v>17860.075472292192</v>
      </c>
      <c r="AJ30" s="108">
        <f t="shared" si="30"/>
        <v>4306.04955110776</v>
      </c>
      <c r="AK30" s="124">
        <f t="shared" si="7"/>
        <v>22166.125023399953</v>
      </c>
      <c r="AL30" s="109">
        <f t="shared" si="8"/>
        <v>1649.3891057934507</v>
      </c>
      <c r="AM30" s="122">
        <v>24</v>
      </c>
      <c r="AN30" s="5" t="s">
        <v>47</v>
      </c>
      <c r="AO30" s="6">
        <v>26</v>
      </c>
      <c r="AP30" s="2">
        <f t="shared" si="9"/>
        <v>39990.16562178649</v>
      </c>
      <c r="AQ30" s="2">
        <f>0.154+0.018</f>
        <v>0.172</v>
      </c>
      <c r="AR30" s="24">
        <f t="shared" si="10"/>
        <v>22660.465957661927</v>
      </c>
      <c r="AS30" s="24">
        <f t="shared" si="11"/>
        <v>6120.691082464456</v>
      </c>
      <c r="AT30" s="110">
        <v>5167.86</v>
      </c>
      <c r="AU30" s="60">
        <f t="shared" si="0"/>
        <v>365.6706913247773</v>
      </c>
      <c r="AV30" s="122">
        <v>24</v>
      </c>
      <c r="AW30" s="5" t="s">
        <v>47</v>
      </c>
      <c r="AX30" s="6">
        <v>26</v>
      </c>
      <c r="AY30" s="14">
        <f t="shared" si="12"/>
        <v>0</v>
      </c>
      <c r="AZ30" s="7"/>
      <c r="BA30" s="2"/>
      <c r="BB30" s="2"/>
      <c r="BC30" s="25">
        <f t="shared" si="13"/>
        <v>0.020088382661840244</v>
      </c>
      <c r="BD30" s="25">
        <f t="shared" si="14"/>
        <v>3225.3935142964765</v>
      </c>
      <c r="BE30" s="24">
        <f t="shared" si="15"/>
        <v>852.51715689913</v>
      </c>
      <c r="BF30" s="111">
        <f t="shared" si="16"/>
        <v>1597.5672191397223</v>
      </c>
      <c r="BG30" s="122">
        <v>24</v>
      </c>
      <c r="BH30" s="5" t="s">
        <v>47</v>
      </c>
      <c r="BI30" s="6">
        <v>26</v>
      </c>
      <c r="BJ30" s="24">
        <f t="shared" si="17"/>
        <v>6723.572347857167</v>
      </c>
      <c r="BK30" s="24">
        <v>5040</v>
      </c>
      <c r="BL30" s="14">
        <f t="shared" si="18"/>
        <v>182.6256051900522</v>
      </c>
      <c r="BM30" s="2"/>
      <c r="BN30" s="2"/>
      <c r="BO30" s="2"/>
      <c r="BP30" s="42"/>
      <c r="BQ30" s="122">
        <v>24</v>
      </c>
      <c r="BR30" s="5" t="s">
        <v>47</v>
      </c>
      <c r="BS30" s="6">
        <v>26</v>
      </c>
      <c r="BT30" s="2">
        <f t="shared" si="31"/>
        <v>43.36541810642709</v>
      </c>
      <c r="BU30" s="2"/>
      <c r="BV30" s="2"/>
      <c r="BW30" s="24">
        <f t="shared" si="19"/>
        <v>640.323753463772</v>
      </c>
      <c r="BX30" s="2"/>
      <c r="BY30" s="35">
        <f t="shared" si="20"/>
        <v>817.2575710969164</v>
      </c>
      <c r="BZ30" s="122">
        <v>24</v>
      </c>
      <c r="CA30" s="5" t="s">
        <v>47</v>
      </c>
      <c r="CB30" s="6">
        <v>26</v>
      </c>
      <c r="CC30" s="125">
        <f t="shared" si="1"/>
        <v>18752.876155944803</v>
      </c>
      <c r="CD30" s="112">
        <f t="shared" si="21"/>
        <v>0.07049196097700304</v>
      </c>
      <c r="CE30" s="108">
        <f t="shared" si="22"/>
        <v>13156.406933824122</v>
      </c>
      <c r="CF30" s="108">
        <f t="shared" si="23"/>
        <v>3613.119625460813</v>
      </c>
      <c r="CG30" s="108">
        <f t="shared" si="24"/>
        <v>1983.3495966598657</v>
      </c>
      <c r="CH30" s="113">
        <f t="shared" si="25"/>
        <v>10787.01570993478</v>
      </c>
      <c r="CI30" s="114">
        <f t="shared" si="26"/>
        <v>1140.9463012551605</v>
      </c>
      <c r="CJ30" s="114">
        <f t="shared" si="27"/>
        <v>2311.092454633926</v>
      </c>
      <c r="CK30" s="115">
        <f t="shared" si="28"/>
        <v>81.90725747325797</v>
      </c>
      <c r="CL30" s="122">
        <v>24</v>
      </c>
      <c r="CM30" s="5" t="s">
        <v>47</v>
      </c>
      <c r="CN30" s="6">
        <v>26</v>
      </c>
      <c r="CO30" s="126">
        <v>18845.16</v>
      </c>
      <c r="CP30" s="127">
        <v>21671.53</v>
      </c>
      <c r="CQ30" s="128"/>
      <c r="CR30" s="122">
        <v>24</v>
      </c>
      <c r="CS30" s="5" t="s">
        <v>47</v>
      </c>
      <c r="CT30" s="6">
        <v>26</v>
      </c>
      <c r="CU30" s="129">
        <v>0</v>
      </c>
      <c r="CV30" s="130">
        <v>0</v>
      </c>
      <c r="CW30" s="130">
        <v>54.65</v>
      </c>
      <c r="CX30" s="12"/>
      <c r="CY30" s="8"/>
      <c r="CZ30" s="64"/>
      <c r="DA30" s="61"/>
      <c r="DB30" s="122">
        <v>24</v>
      </c>
      <c r="DC30" s="5" t="s">
        <v>47</v>
      </c>
      <c r="DD30" s="6">
        <v>26</v>
      </c>
      <c r="DE30" s="131">
        <v>0</v>
      </c>
      <c r="DF30" s="131">
        <v>0</v>
      </c>
      <c r="DG30" s="133">
        <v>0</v>
      </c>
      <c r="DH30" s="16"/>
      <c r="DI30" s="16"/>
      <c r="DJ30" s="16"/>
      <c r="DK30" s="16"/>
      <c r="DL30" s="16"/>
    </row>
    <row r="31" spans="1:116" ht="12" customHeight="1">
      <c r="A31" s="122">
        <v>25</v>
      </c>
      <c r="B31" s="4" t="s">
        <v>68</v>
      </c>
      <c r="C31" s="6">
        <v>15</v>
      </c>
      <c r="D31" s="43">
        <v>2034.2</v>
      </c>
      <c r="E31" s="36">
        <v>1960</v>
      </c>
      <c r="F31" s="37">
        <v>3</v>
      </c>
      <c r="G31" s="37">
        <v>4</v>
      </c>
      <c r="H31" s="37"/>
      <c r="I31" s="37">
        <v>48</v>
      </c>
      <c r="J31" s="37"/>
      <c r="K31" s="38">
        <v>172.1</v>
      </c>
      <c r="L31" s="39">
        <v>98</v>
      </c>
      <c r="M31" s="40">
        <v>1498</v>
      </c>
      <c r="N31" s="40">
        <v>141</v>
      </c>
      <c r="O31" s="40">
        <v>817</v>
      </c>
      <c r="P31" s="37"/>
      <c r="Q31" s="123" t="s">
        <v>51</v>
      </c>
      <c r="R31" s="122">
        <v>25</v>
      </c>
      <c r="S31" s="4" t="s">
        <v>68</v>
      </c>
      <c r="T31" s="6">
        <v>15</v>
      </c>
      <c r="U31" s="41" t="s">
        <v>52</v>
      </c>
      <c r="V31" s="40">
        <v>896</v>
      </c>
      <c r="W31" s="3">
        <v>20.6</v>
      </c>
      <c r="X31" s="3">
        <v>488818.98</v>
      </c>
      <c r="Y31" s="3">
        <v>485131.9</v>
      </c>
      <c r="Z31" s="3">
        <f t="shared" si="2"/>
        <v>99.24571668636926</v>
      </c>
      <c r="AA31" s="3">
        <f t="shared" si="29"/>
        <v>-121498.30640536873</v>
      </c>
      <c r="AB31" s="3">
        <f t="shared" si="3"/>
        <v>606630.2064053687</v>
      </c>
      <c r="AC31" s="107">
        <f t="shared" si="4"/>
        <v>514093.39525878715</v>
      </c>
      <c r="AD31" s="122">
        <v>25</v>
      </c>
      <c r="AE31" s="4" t="s">
        <v>68</v>
      </c>
      <c r="AF31" s="6">
        <v>15</v>
      </c>
      <c r="AG31" s="124">
        <f t="shared" si="5"/>
        <v>88593.71256059945</v>
      </c>
      <c r="AH31" s="124">
        <f>0.93*82.25/79.4</f>
        <v>0.9633816120906801</v>
      </c>
      <c r="AI31" s="108">
        <f t="shared" si="6"/>
        <v>66439.48075692695</v>
      </c>
      <c r="AJ31" s="108">
        <f t="shared" si="30"/>
        <v>16018.504330120866</v>
      </c>
      <c r="AK31" s="124">
        <f t="shared" si="7"/>
        <v>82457.98508704781</v>
      </c>
      <c r="AL31" s="109">
        <f t="shared" si="8"/>
        <v>6135.727473551637</v>
      </c>
      <c r="AM31" s="122">
        <v>25</v>
      </c>
      <c r="AN31" s="4" t="s">
        <v>68</v>
      </c>
      <c r="AO31" s="6">
        <v>15</v>
      </c>
      <c r="AP31" s="2">
        <f t="shared" si="9"/>
        <v>226490.36938451082</v>
      </c>
      <c r="AQ31" s="2">
        <f>0.687+0.018</f>
        <v>0.7050000000000001</v>
      </c>
      <c r="AR31" s="24">
        <f t="shared" si="10"/>
        <v>92881.56104739338</v>
      </c>
      <c r="AS31" s="24">
        <f t="shared" si="11"/>
        <v>25087.716355450244</v>
      </c>
      <c r="AT31" s="137">
        <v>44450.12</v>
      </c>
      <c r="AU31" s="60">
        <f t="shared" si="0"/>
        <v>1549.134636657518</v>
      </c>
      <c r="AV31" s="122">
        <v>25</v>
      </c>
      <c r="AW31" s="4" t="s">
        <v>68</v>
      </c>
      <c r="AX31" s="6">
        <v>15</v>
      </c>
      <c r="AY31" s="14">
        <f t="shared" si="12"/>
        <v>31792.38</v>
      </c>
      <c r="AZ31" s="7">
        <f>15825.1+15967.28</f>
        <v>31792.38</v>
      </c>
      <c r="BA31" s="2"/>
      <c r="BB31" s="2"/>
      <c r="BC31" s="25">
        <f t="shared" si="13"/>
        <v>0.10876706949884331</v>
      </c>
      <c r="BD31" s="25">
        <f t="shared" si="14"/>
        <v>17463.655807244857</v>
      </c>
      <c r="BE31" s="24">
        <f t="shared" si="15"/>
        <v>4615.891404216689</v>
      </c>
      <c r="BF31" s="111">
        <f t="shared" si="16"/>
        <v>8649.910133548105</v>
      </c>
      <c r="BG31" s="122">
        <v>25</v>
      </c>
      <c r="BH31" s="4" t="s">
        <v>68</v>
      </c>
      <c r="BI31" s="6">
        <v>15</v>
      </c>
      <c r="BJ31" s="24">
        <f t="shared" si="17"/>
        <v>19933.452217179838</v>
      </c>
      <c r="BK31" s="24"/>
      <c r="BL31" s="14">
        <f t="shared" si="18"/>
        <v>988.8128987958589</v>
      </c>
      <c r="BM31" s="2"/>
      <c r="BN31" s="2"/>
      <c r="BO31" s="2"/>
      <c r="BP31" s="42"/>
      <c r="BQ31" s="122">
        <v>25</v>
      </c>
      <c r="BR31" s="4" t="s">
        <v>68</v>
      </c>
      <c r="BS31" s="6">
        <v>15</v>
      </c>
      <c r="BT31" s="2">
        <f t="shared" si="31"/>
        <v>260.1925086385626</v>
      </c>
      <c r="BU31" s="2">
        <f>18.5*I31*4</f>
        <v>3552</v>
      </c>
      <c r="BV31" s="2">
        <v>7240.48</v>
      </c>
      <c r="BW31" s="24">
        <f t="shared" si="19"/>
        <v>3466.9858378919484</v>
      </c>
      <c r="BX31" s="2"/>
      <c r="BY31" s="35">
        <f t="shared" si="20"/>
        <v>4424.980971853467</v>
      </c>
      <c r="BZ31" s="122">
        <v>25</v>
      </c>
      <c r="CA31" s="4" t="s">
        <v>68</v>
      </c>
      <c r="CB31" s="6">
        <v>15</v>
      </c>
      <c r="CC31" s="125">
        <f t="shared" si="1"/>
        <v>101536.0678105481</v>
      </c>
      <c r="CD31" s="112">
        <f t="shared" si="21"/>
        <v>0.3816735347868502</v>
      </c>
      <c r="CE31" s="108">
        <f t="shared" si="22"/>
        <v>71234.39708486834</v>
      </c>
      <c r="CF31" s="108">
        <f t="shared" si="23"/>
        <v>19562.970301071033</v>
      </c>
      <c r="CG31" s="108">
        <f t="shared" si="24"/>
        <v>10738.700424608729</v>
      </c>
      <c r="CH31" s="113">
        <f t="shared" si="25"/>
        <v>58405.50268072752</v>
      </c>
      <c r="CI31" s="114">
        <f t="shared" si="26"/>
        <v>6177.569779114314</v>
      </c>
      <c r="CJ31" s="114">
        <f t="shared" si="27"/>
        <v>12513.240008560906</v>
      </c>
      <c r="CK31" s="115">
        <f t="shared" si="28"/>
        <v>443.48081754618414</v>
      </c>
      <c r="CL31" s="122">
        <v>25</v>
      </c>
      <c r="CM31" s="4" t="s">
        <v>68</v>
      </c>
      <c r="CN31" s="6">
        <v>15</v>
      </c>
      <c r="CO31" s="126">
        <v>102035.64</v>
      </c>
      <c r="CP31" s="127">
        <v>118068.82</v>
      </c>
      <c r="CQ31" s="128"/>
      <c r="CR31" s="122">
        <v>25</v>
      </c>
      <c r="CS31" s="4" t="s">
        <v>68</v>
      </c>
      <c r="CT31" s="6">
        <v>15</v>
      </c>
      <c r="CU31" s="129">
        <v>1.37</v>
      </c>
      <c r="CV31" s="130">
        <v>12379.26</v>
      </c>
      <c r="CW31" s="130">
        <v>13272.48</v>
      </c>
      <c r="CX31" s="12"/>
      <c r="CY31" s="8"/>
      <c r="CZ31" s="64"/>
      <c r="DA31" s="61"/>
      <c r="DB31" s="122">
        <v>25</v>
      </c>
      <c r="DC31" s="4" t="s">
        <v>68</v>
      </c>
      <c r="DD31" s="6">
        <v>15</v>
      </c>
      <c r="DE31" s="131">
        <v>1.04</v>
      </c>
      <c r="DF31" s="131">
        <v>5864.31</v>
      </c>
      <c r="DG31" s="133">
        <v>5932.5</v>
      </c>
      <c r="DH31" s="16"/>
      <c r="DI31" s="16"/>
      <c r="DJ31" s="16"/>
      <c r="DK31" s="16"/>
      <c r="DL31" s="16"/>
    </row>
    <row r="32" spans="1:116" ht="12" customHeight="1">
      <c r="A32" s="122">
        <v>26</v>
      </c>
      <c r="B32" s="4" t="s">
        <v>68</v>
      </c>
      <c r="C32" s="6" t="s">
        <v>64</v>
      </c>
      <c r="D32" s="2">
        <v>3187.3</v>
      </c>
      <c r="E32" s="36">
        <v>1962</v>
      </c>
      <c r="F32" s="37">
        <v>4</v>
      </c>
      <c r="G32" s="37">
        <v>5</v>
      </c>
      <c r="H32" s="37"/>
      <c r="I32" s="37">
        <v>80</v>
      </c>
      <c r="J32" s="37"/>
      <c r="K32" s="38">
        <v>293.3</v>
      </c>
      <c r="L32" s="39">
        <f>297+228</f>
        <v>525</v>
      </c>
      <c r="M32" s="40">
        <v>439</v>
      </c>
      <c r="N32" s="40">
        <v>0</v>
      </c>
      <c r="O32" s="40">
        <v>1360</v>
      </c>
      <c r="P32" s="37"/>
      <c r="Q32" s="123" t="s">
        <v>51</v>
      </c>
      <c r="R32" s="122">
        <v>26</v>
      </c>
      <c r="S32" s="4" t="s">
        <v>68</v>
      </c>
      <c r="T32" s="6" t="s">
        <v>64</v>
      </c>
      <c r="U32" s="41" t="s">
        <v>52</v>
      </c>
      <c r="V32" s="40">
        <v>1092</v>
      </c>
      <c r="W32" s="3">
        <v>20.6</v>
      </c>
      <c r="X32" s="3">
        <v>765909.42</v>
      </c>
      <c r="Y32" s="3">
        <v>749267.15</v>
      </c>
      <c r="Z32" s="3">
        <f t="shared" si="2"/>
        <v>97.82712295143203</v>
      </c>
      <c r="AA32" s="3">
        <f t="shared" si="29"/>
        <v>-54401.80302138219</v>
      </c>
      <c r="AB32" s="3">
        <f t="shared" si="3"/>
        <v>803668.9530213822</v>
      </c>
      <c r="AC32" s="107">
        <f t="shared" si="4"/>
        <v>681075.3839164256</v>
      </c>
      <c r="AD32" s="122">
        <v>26</v>
      </c>
      <c r="AE32" s="4" t="s">
        <v>68</v>
      </c>
      <c r="AF32" s="6" t="s">
        <v>64</v>
      </c>
      <c r="AG32" s="124">
        <f t="shared" si="5"/>
        <v>79067.50690892208</v>
      </c>
      <c r="AH32" s="124">
        <f>0.83*82.25/79.4</f>
        <v>0.8597921914357681</v>
      </c>
      <c r="AI32" s="108">
        <f t="shared" si="6"/>
        <v>59295.45056801006</v>
      </c>
      <c r="AJ32" s="108">
        <f t="shared" si="30"/>
        <v>14296.084509677761</v>
      </c>
      <c r="AK32" s="124">
        <f t="shared" si="7"/>
        <v>73591.53507768782</v>
      </c>
      <c r="AL32" s="109">
        <f t="shared" si="8"/>
        <v>5475.971831234256</v>
      </c>
      <c r="AM32" s="122">
        <v>26</v>
      </c>
      <c r="AN32" s="4" t="s">
        <v>68</v>
      </c>
      <c r="AO32" s="6" t="s">
        <v>64</v>
      </c>
      <c r="AP32" s="2">
        <f t="shared" si="9"/>
        <v>292165.80155227805</v>
      </c>
      <c r="AQ32" s="2">
        <f>1.076+0.018</f>
        <v>1.094</v>
      </c>
      <c r="AR32" s="24">
        <f t="shared" si="10"/>
        <v>144131.1032423381</v>
      </c>
      <c r="AS32" s="24">
        <f t="shared" si="11"/>
        <v>38930.44211753556</v>
      </c>
      <c r="AT32" s="137">
        <v>37956.86</v>
      </c>
      <c r="AU32" s="60">
        <f t="shared" si="0"/>
        <v>2407.0285403793255</v>
      </c>
      <c r="AV32" s="122">
        <v>26</v>
      </c>
      <c r="AW32" s="4" t="s">
        <v>68</v>
      </c>
      <c r="AX32" s="6" t="s">
        <v>64</v>
      </c>
      <c r="AY32" s="14">
        <f t="shared" si="12"/>
        <v>20591.71</v>
      </c>
      <c r="AZ32" s="7">
        <f>5066.59+1959.3+1046.94+755.13+1157.62+291.81+1620.94+8693.38</f>
        <v>20591.71</v>
      </c>
      <c r="BA32" s="2"/>
      <c r="BB32" s="2"/>
      <c r="BC32" s="25">
        <f t="shared" si="13"/>
        <v>0.17042241697653293</v>
      </c>
      <c r="BD32" s="25">
        <f t="shared" si="14"/>
        <v>27363.046973961034</v>
      </c>
      <c r="BE32" s="24">
        <f t="shared" si="15"/>
        <v>7232.440602035127</v>
      </c>
      <c r="BF32" s="111">
        <f t="shared" si="16"/>
        <v>13553.170076028846</v>
      </c>
      <c r="BG32" s="122">
        <v>26</v>
      </c>
      <c r="BH32" s="4" t="s">
        <v>68</v>
      </c>
      <c r="BI32" s="6" t="s">
        <v>64</v>
      </c>
      <c r="BJ32" s="24">
        <f t="shared" si="17"/>
        <v>29255.853808944325</v>
      </c>
      <c r="BK32" s="24"/>
      <c r="BL32" s="14">
        <f t="shared" si="18"/>
        <v>1549.3281645521784</v>
      </c>
      <c r="BM32" s="2"/>
      <c r="BN32" s="2"/>
      <c r="BO32" s="2"/>
      <c r="BP32" s="42"/>
      <c r="BQ32" s="122">
        <v>26</v>
      </c>
      <c r="BR32" s="4" t="s">
        <v>68</v>
      </c>
      <c r="BS32" s="6" t="s">
        <v>64</v>
      </c>
      <c r="BT32" s="2">
        <f t="shared" si="31"/>
        <v>433.6541810642709</v>
      </c>
      <c r="BU32" s="2">
        <f aca="true" t="shared" si="32" ref="BU32:BU37">18.5*I32*4</f>
        <v>5920</v>
      </c>
      <c r="BV32" s="2"/>
      <c r="BW32" s="24">
        <f t="shared" si="19"/>
        <v>5432.270160806709</v>
      </c>
      <c r="BX32" s="2">
        <v>8987.29</v>
      </c>
      <c r="BY32" s="35">
        <f t="shared" si="20"/>
        <v>6933.311302521166</v>
      </c>
      <c r="BZ32" s="122">
        <v>26</v>
      </c>
      <c r="CA32" s="4" t="s">
        <v>68</v>
      </c>
      <c r="CB32" s="6" t="s">
        <v>64</v>
      </c>
      <c r="CC32" s="125">
        <f t="shared" si="1"/>
        <v>159092.47317498768</v>
      </c>
      <c r="CD32" s="112">
        <f t="shared" si="21"/>
        <v>0.598027754117652</v>
      </c>
      <c r="CE32" s="108">
        <f t="shared" si="22"/>
        <v>111614.09587484066</v>
      </c>
      <c r="CF32" s="108">
        <f t="shared" si="23"/>
        <v>30652.3720581082</v>
      </c>
      <c r="CG32" s="108">
        <f t="shared" si="24"/>
        <v>16826.00524203884</v>
      </c>
      <c r="CH32" s="113">
        <f t="shared" si="25"/>
        <v>91513.056088036</v>
      </c>
      <c r="CI32" s="114">
        <f t="shared" si="26"/>
        <v>9679.366904419945</v>
      </c>
      <c r="CJ32" s="114">
        <f t="shared" si="27"/>
        <v>19606.454566555</v>
      </c>
      <c r="CK32" s="115">
        <f t="shared" si="28"/>
        <v>694.8709122824465</v>
      </c>
      <c r="CL32" s="122">
        <v>26</v>
      </c>
      <c r="CM32" s="4" t="s">
        <v>68</v>
      </c>
      <c r="CN32" s="6" t="s">
        <v>64</v>
      </c>
      <c r="CO32" s="126">
        <v>159874.92</v>
      </c>
      <c r="CP32" s="127">
        <v>151981.29</v>
      </c>
      <c r="CQ32" s="128"/>
      <c r="CR32" s="122">
        <v>26</v>
      </c>
      <c r="CS32" s="4" t="s">
        <v>68</v>
      </c>
      <c r="CT32" s="6" t="s">
        <v>64</v>
      </c>
      <c r="CU32" s="129">
        <v>1.37</v>
      </c>
      <c r="CV32" s="130">
        <v>17610.72</v>
      </c>
      <c r="CW32" s="130">
        <v>19682.87</v>
      </c>
      <c r="CX32" s="12"/>
      <c r="CY32" s="8"/>
      <c r="CZ32" s="64"/>
      <c r="DA32" s="61"/>
      <c r="DB32" s="122">
        <v>26</v>
      </c>
      <c r="DC32" s="4" t="s">
        <v>68</v>
      </c>
      <c r="DD32" s="6" t="s">
        <v>64</v>
      </c>
      <c r="DE32" s="131">
        <v>1.04</v>
      </c>
      <c r="DF32" s="131">
        <v>11290.98</v>
      </c>
      <c r="DG32" s="133">
        <v>10169.12</v>
      </c>
      <c r="DH32" s="16"/>
      <c r="DI32" s="16"/>
      <c r="DJ32" s="16"/>
      <c r="DK32" s="16"/>
      <c r="DL32" s="16"/>
    </row>
    <row r="33" spans="1:116" ht="12" customHeight="1">
      <c r="A33" s="122">
        <v>27</v>
      </c>
      <c r="B33" s="4" t="s">
        <v>68</v>
      </c>
      <c r="C33" s="6">
        <v>17</v>
      </c>
      <c r="D33" s="43">
        <v>2005.2</v>
      </c>
      <c r="E33" s="36">
        <v>1961</v>
      </c>
      <c r="F33" s="37">
        <v>3</v>
      </c>
      <c r="G33" s="37">
        <v>4</v>
      </c>
      <c r="H33" s="37"/>
      <c r="I33" s="37">
        <v>40</v>
      </c>
      <c r="J33" s="37"/>
      <c r="K33" s="38">
        <v>175.2</v>
      </c>
      <c r="L33" s="39">
        <f>225+544</f>
        <v>769</v>
      </c>
      <c r="M33" s="40">
        <v>0</v>
      </c>
      <c r="N33" s="40">
        <v>0</v>
      </c>
      <c r="O33" s="40">
        <v>1374</v>
      </c>
      <c r="P33" s="37"/>
      <c r="Q33" s="123" t="s">
        <v>51</v>
      </c>
      <c r="R33" s="122">
        <v>27</v>
      </c>
      <c r="S33" s="4" t="s">
        <v>68</v>
      </c>
      <c r="T33" s="6">
        <v>17</v>
      </c>
      <c r="U33" s="41" t="s">
        <v>52</v>
      </c>
      <c r="V33" s="40">
        <v>885</v>
      </c>
      <c r="W33" s="3">
        <v>20.6</v>
      </c>
      <c r="X33" s="3">
        <v>481850.46</v>
      </c>
      <c r="Y33" s="3">
        <v>477924</v>
      </c>
      <c r="Z33" s="3">
        <f t="shared" si="2"/>
        <v>99.18512892983436</v>
      </c>
      <c r="AA33" s="3">
        <f t="shared" si="29"/>
        <v>-5032.622952002857</v>
      </c>
      <c r="AB33" s="3">
        <f t="shared" si="3"/>
        <v>482956.62295200286</v>
      </c>
      <c r="AC33" s="107">
        <f t="shared" si="4"/>
        <v>409285.27368813806</v>
      </c>
      <c r="AD33" s="122">
        <v>27</v>
      </c>
      <c r="AE33" s="4" t="s">
        <v>68</v>
      </c>
      <c r="AF33" s="6">
        <v>17</v>
      </c>
      <c r="AG33" s="124">
        <f t="shared" si="5"/>
        <v>57157.23391006416</v>
      </c>
      <c r="AH33" s="124">
        <f>0.6*82.25/79.4</f>
        <v>0.621536523929471</v>
      </c>
      <c r="AI33" s="108">
        <f t="shared" si="6"/>
        <v>42864.18113350126</v>
      </c>
      <c r="AJ33" s="108">
        <f t="shared" si="30"/>
        <v>10334.518922658624</v>
      </c>
      <c r="AK33" s="124">
        <f t="shared" si="7"/>
        <v>53198.70005615988</v>
      </c>
      <c r="AL33" s="109">
        <f t="shared" si="8"/>
        <v>3958.533853904282</v>
      </c>
      <c r="AM33" s="122">
        <v>27</v>
      </c>
      <c r="AN33" s="4" t="s">
        <v>68</v>
      </c>
      <c r="AO33" s="6">
        <v>17</v>
      </c>
      <c r="AP33" s="2">
        <f t="shared" si="9"/>
        <v>163674.1228525881</v>
      </c>
      <c r="AQ33" s="2">
        <f>0.652+0.018</f>
        <v>0.67</v>
      </c>
      <c r="AR33" s="24">
        <f t="shared" si="10"/>
        <v>88270.41971879939</v>
      </c>
      <c r="AS33" s="24">
        <f t="shared" si="11"/>
        <v>23842.22689099527</v>
      </c>
      <c r="AT33" s="137">
        <v>19790.55</v>
      </c>
      <c r="AU33" s="60">
        <f t="shared" si="0"/>
        <v>1479.5547610250067</v>
      </c>
      <c r="AV33" s="122">
        <v>27</v>
      </c>
      <c r="AW33" s="4" t="s">
        <v>68</v>
      </c>
      <c r="AX33" s="6">
        <v>17</v>
      </c>
      <c r="AY33" s="14">
        <f t="shared" si="12"/>
        <v>0</v>
      </c>
      <c r="AZ33" s="7"/>
      <c r="BA33" s="2"/>
      <c r="BB33" s="2"/>
      <c r="BC33" s="25">
        <f t="shared" si="13"/>
        <v>0.10721646237296263</v>
      </c>
      <c r="BD33" s="25">
        <f t="shared" si="14"/>
        <v>17214.690111438103</v>
      </c>
      <c r="BE33" s="24">
        <f t="shared" si="15"/>
        <v>4550.086247043214</v>
      </c>
      <c r="BF33" s="111">
        <f t="shared" si="16"/>
        <v>8526.595123287121</v>
      </c>
      <c r="BG33" s="122">
        <v>27</v>
      </c>
      <c r="BH33" s="4" t="s">
        <v>68</v>
      </c>
      <c r="BI33" s="6">
        <v>17</v>
      </c>
      <c r="BJ33" s="24">
        <f t="shared" si="17"/>
        <v>11931.000461669175</v>
      </c>
      <c r="BK33" s="24"/>
      <c r="BL33" s="14">
        <f t="shared" si="18"/>
        <v>974.7161658959081</v>
      </c>
      <c r="BM33" s="2"/>
      <c r="BN33" s="2"/>
      <c r="BO33" s="2"/>
      <c r="BP33" s="42"/>
      <c r="BQ33" s="122">
        <v>27</v>
      </c>
      <c r="BR33" s="4" t="s">
        <v>68</v>
      </c>
      <c r="BS33" s="6">
        <v>17</v>
      </c>
      <c r="BT33" s="2">
        <f t="shared" si="31"/>
        <v>216.82709053213546</v>
      </c>
      <c r="BU33" s="2">
        <f t="shared" si="32"/>
        <v>2960</v>
      </c>
      <c r="BV33" s="2"/>
      <c r="BW33" s="24">
        <f t="shared" si="19"/>
        <v>3417.559729692722</v>
      </c>
      <c r="BX33" s="2"/>
      <c r="BY33" s="35">
        <f t="shared" si="20"/>
        <v>4361.897475548409</v>
      </c>
      <c r="BZ33" s="122">
        <v>27</v>
      </c>
      <c r="CA33" s="4" t="s">
        <v>68</v>
      </c>
      <c r="CB33" s="6">
        <v>17</v>
      </c>
      <c r="CC33" s="125">
        <f t="shared" si="1"/>
        <v>100088.54742587308</v>
      </c>
      <c r="CD33" s="112">
        <f t="shared" si="21"/>
        <v>0.37623231341785074</v>
      </c>
      <c r="CE33" s="108">
        <f t="shared" si="22"/>
        <v>70218.86394384917</v>
      </c>
      <c r="CF33" s="108">
        <f t="shared" si="23"/>
        <v>19284.076318802297</v>
      </c>
      <c r="CG33" s="108">
        <f t="shared" si="24"/>
        <v>10585.60716322162</v>
      </c>
      <c r="CH33" s="113">
        <f t="shared" si="25"/>
        <v>57572.861063511366</v>
      </c>
      <c r="CI33" s="114">
        <f t="shared" si="26"/>
        <v>6089.5009935503</v>
      </c>
      <c r="CJ33" s="114">
        <f t="shared" si="27"/>
        <v>12334.848522842558</v>
      </c>
      <c r="CK33" s="115">
        <f t="shared" si="28"/>
        <v>437.15845803933166</v>
      </c>
      <c r="CL33" s="122">
        <v>27</v>
      </c>
      <c r="CM33" s="4" t="s">
        <v>68</v>
      </c>
      <c r="CN33" s="6">
        <v>17</v>
      </c>
      <c r="CO33" s="126">
        <v>100581</v>
      </c>
      <c r="CP33" s="127">
        <v>90998.76</v>
      </c>
      <c r="CQ33" s="128"/>
      <c r="CR33" s="122">
        <v>27</v>
      </c>
      <c r="CS33" s="4" t="s">
        <v>68</v>
      </c>
      <c r="CT33" s="6">
        <v>17</v>
      </c>
      <c r="CU33" s="129">
        <v>1.37</v>
      </c>
      <c r="CV33" s="130">
        <v>12653.92</v>
      </c>
      <c r="CW33" s="130">
        <v>13588.78</v>
      </c>
      <c r="CX33" s="12"/>
      <c r="CY33" s="8"/>
      <c r="CZ33" s="64"/>
      <c r="DA33" s="61"/>
      <c r="DB33" s="122">
        <v>27</v>
      </c>
      <c r="DC33" s="4" t="s">
        <v>68</v>
      </c>
      <c r="DD33" s="6">
        <v>17</v>
      </c>
      <c r="DE33" s="131">
        <v>1.04</v>
      </c>
      <c r="DF33" s="131">
        <v>4504.38</v>
      </c>
      <c r="DG33" s="133">
        <v>4687.41</v>
      </c>
      <c r="DH33" s="16"/>
      <c r="DI33" s="16"/>
      <c r="DJ33" s="16"/>
      <c r="DK33" s="16"/>
      <c r="DL33" s="16"/>
    </row>
    <row r="34" spans="1:116" ht="12" customHeight="1">
      <c r="A34" s="122">
        <v>28</v>
      </c>
      <c r="B34" s="4" t="s">
        <v>68</v>
      </c>
      <c r="C34" s="6" t="s">
        <v>69</v>
      </c>
      <c r="D34" s="2">
        <v>3203.4</v>
      </c>
      <c r="E34" s="36">
        <v>1968</v>
      </c>
      <c r="F34" s="37">
        <v>4</v>
      </c>
      <c r="G34" s="37">
        <v>5</v>
      </c>
      <c r="H34" s="37"/>
      <c r="I34" s="37">
        <v>80</v>
      </c>
      <c r="J34" s="37"/>
      <c r="K34" s="38">
        <v>310.3</v>
      </c>
      <c r="L34" s="39">
        <v>853</v>
      </c>
      <c r="M34" s="40">
        <v>0</v>
      </c>
      <c r="N34" s="40">
        <v>0</v>
      </c>
      <c r="O34" s="40">
        <v>3255</v>
      </c>
      <c r="P34" s="37"/>
      <c r="Q34" s="123" t="s">
        <v>51</v>
      </c>
      <c r="R34" s="122">
        <v>28</v>
      </c>
      <c r="S34" s="4" t="s">
        <v>68</v>
      </c>
      <c r="T34" s="6" t="s">
        <v>69</v>
      </c>
      <c r="U34" s="41" t="s">
        <v>52</v>
      </c>
      <c r="V34" s="40">
        <v>1092</v>
      </c>
      <c r="W34" s="3">
        <v>20.6</v>
      </c>
      <c r="X34" s="3">
        <v>769602.52</v>
      </c>
      <c r="Y34" s="3">
        <v>775836.66</v>
      </c>
      <c r="Z34" s="3">
        <f t="shared" si="2"/>
        <v>100.81004672385949</v>
      </c>
      <c r="AA34" s="3">
        <f t="shared" si="29"/>
        <v>-65733.7016378009</v>
      </c>
      <c r="AB34" s="3">
        <f t="shared" si="3"/>
        <v>841570.3616378009</v>
      </c>
      <c r="AC34" s="107">
        <f t="shared" si="4"/>
        <v>713195.22172695</v>
      </c>
      <c r="AD34" s="122">
        <v>28</v>
      </c>
      <c r="AE34" s="4" t="s">
        <v>68</v>
      </c>
      <c r="AF34" s="6" t="s">
        <v>69</v>
      </c>
      <c r="AG34" s="124">
        <f t="shared" si="5"/>
        <v>98119.91821227681</v>
      </c>
      <c r="AH34" s="124">
        <f>1.03*82.25/79.4</f>
        <v>1.066971032745592</v>
      </c>
      <c r="AI34" s="108">
        <f t="shared" si="6"/>
        <v>73583.51094584382</v>
      </c>
      <c r="AJ34" s="108">
        <f t="shared" si="30"/>
        <v>17740.92415056397</v>
      </c>
      <c r="AK34" s="124">
        <f t="shared" si="7"/>
        <v>91324.43509640779</v>
      </c>
      <c r="AL34" s="109">
        <f t="shared" si="8"/>
        <v>6795.483115869017</v>
      </c>
      <c r="AM34" s="122">
        <v>28</v>
      </c>
      <c r="AN34" s="4" t="s">
        <v>68</v>
      </c>
      <c r="AO34" s="6" t="s">
        <v>69</v>
      </c>
      <c r="AP34" s="2">
        <f t="shared" si="9"/>
        <v>312732.90527950425</v>
      </c>
      <c r="AQ34" s="2">
        <f>1.081+0.02</f>
        <v>1.101</v>
      </c>
      <c r="AR34" s="24">
        <f t="shared" si="10"/>
        <v>145053.33150805687</v>
      </c>
      <c r="AS34" s="24">
        <f t="shared" si="11"/>
        <v>39179.54001042654</v>
      </c>
      <c r="AT34" s="137">
        <v>77686.17</v>
      </c>
      <c r="AU34" s="60">
        <f t="shared" si="0"/>
        <v>2421.9929228515393</v>
      </c>
      <c r="AV34" s="122">
        <v>28</v>
      </c>
      <c r="AW34" s="4" t="s">
        <v>68</v>
      </c>
      <c r="AX34" s="6" t="s">
        <v>69</v>
      </c>
      <c r="AY34" s="14">
        <f t="shared" si="12"/>
        <v>0</v>
      </c>
      <c r="AZ34" s="7"/>
      <c r="BA34" s="2"/>
      <c r="BB34" s="2"/>
      <c r="BC34" s="25">
        <f t="shared" si="13"/>
        <v>0.17128327127745288</v>
      </c>
      <c r="BD34" s="25">
        <f t="shared" si="14"/>
        <v>27501.26586025375</v>
      </c>
      <c r="BE34" s="24">
        <f t="shared" si="15"/>
        <v>7268.973809983159</v>
      </c>
      <c r="BF34" s="111">
        <f t="shared" si="16"/>
        <v>13621.631167932357</v>
      </c>
      <c r="BG34" s="122">
        <v>28</v>
      </c>
      <c r="BH34" s="4" t="s">
        <v>68</v>
      </c>
      <c r="BI34" s="6" t="s">
        <v>69</v>
      </c>
      <c r="BJ34" s="24">
        <f t="shared" si="17"/>
        <v>20338.852154882537</v>
      </c>
      <c r="BK34" s="24"/>
      <c r="BL34" s="14">
        <f t="shared" si="18"/>
        <v>1557.1542817828406</v>
      </c>
      <c r="BM34" s="2"/>
      <c r="BN34" s="2"/>
      <c r="BO34" s="2"/>
      <c r="BP34" s="42"/>
      <c r="BQ34" s="122">
        <v>28</v>
      </c>
      <c r="BR34" s="4" t="s">
        <v>68</v>
      </c>
      <c r="BS34" s="6" t="s">
        <v>69</v>
      </c>
      <c r="BT34" s="2">
        <f t="shared" si="31"/>
        <v>433.6541810642709</v>
      </c>
      <c r="BU34" s="2">
        <f t="shared" si="32"/>
        <v>5920</v>
      </c>
      <c r="BV34" s="2"/>
      <c r="BW34" s="24">
        <f t="shared" si="19"/>
        <v>5459.710172600073</v>
      </c>
      <c r="BX34" s="2"/>
      <c r="BY34" s="35">
        <f t="shared" si="20"/>
        <v>6968.333519435354</v>
      </c>
      <c r="BZ34" s="122">
        <v>28</v>
      </c>
      <c r="CA34" s="4" t="s">
        <v>68</v>
      </c>
      <c r="CB34" s="6" t="s">
        <v>69</v>
      </c>
      <c r="CC34" s="125">
        <f t="shared" si="1"/>
        <v>159896.09656096244</v>
      </c>
      <c r="CD34" s="112">
        <f t="shared" si="21"/>
        <v>0.601048570119062</v>
      </c>
      <c r="CE34" s="108">
        <f t="shared" si="22"/>
        <v>112177.89186002716</v>
      </c>
      <c r="CF34" s="108">
        <f t="shared" si="23"/>
        <v>30807.20630343671</v>
      </c>
      <c r="CG34" s="108">
        <f t="shared" si="24"/>
        <v>16910.998397498577</v>
      </c>
      <c r="CH34" s="113">
        <f t="shared" si="25"/>
        <v>91975.31574449048</v>
      </c>
      <c r="CI34" s="114">
        <f t="shared" si="26"/>
        <v>9728.260264681345</v>
      </c>
      <c r="CJ34" s="114">
        <f t="shared" si="27"/>
        <v>19705.49259828139</v>
      </c>
      <c r="CK34" s="115">
        <f t="shared" si="28"/>
        <v>698.3809118707336</v>
      </c>
      <c r="CL34" s="122">
        <v>28</v>
      </c>
      <c r="CM34" s="4" t="s">
        <v>68</v>
      </c>
      <c r="CN34" s="6" t="s">
        <v>69</v>
      </c>
      <c r="CO34" s="126">
        <v>160646.37</v>
      </c>
      <c r="CP34" s="127">
        <v>160784.48</v>
      </c>
      <c r="CQ34" s="128"/>
      <c r="CR34" s="122">
        <v>28</v>
      </c>
      <c r="CS34" s="4" t="s">
        <v>68</v>
      </c>
      <c r="CT34" s="6" t="s">
        <v>69</v>
      </c>
      <c r="CU34" s="129">
        <v>1.37</v>
      </c>
      <c r="CV34" s="130">
        <v>19163.49</v>
      </c>
      <c r="CW34" s="130">
        <v>20659.76</v>
      </c>
      <c r="CX34" s="12"/>
      <c r="CY34" s="8"/>
      <c r="CZ34" s="64"/>
      <c r="DA34" s="61"/>
      <c r="DB34" s="122">
        <v>28</v>
      </c>
      <c r="DC34" s="4" t="s">
        <v>68</v>
      </c>
      <c r="DD34" s="6" t="s">
        <v>69</v>
      </c>
      <c r="DE34" s="131">
        <v>1.04</v>
      </c>
      <c r="DF34" s="131">
        <v>9764.35</v>
      </c>
      <c r="DG34" s="133">
        <v>9777.71</v>
      </c>
      <c r="DH34" s="16"/>
      <c r="DI34" s="16"/>
      <c r="DJ34" s="16"/>
      <c r="DK34" s="16"/>
      <c r="DL34" s="16"/>
    </row>
    <row r="35" spans="1:116" ht="12" customHeight="1">
      <c r="A35" s="122">
        <v>29</v>
      </c>
      <c r="B35" s="4" t="s">
        <v>68</v>
      </c>
      <c r="C35" s="6">
        <v>18</v>
      </c>
      <c r="D35" s="43">
        <v>2890.4</v>
      </c>
      <c r="E35" s="36">
        <v>1969</v>
      </c>
      <c r="F35" s="37">
        <v>4</v>
      </c>
      <c r="G35" s="37">
        <v>5</v>
      </c>
      <c r="H35" s="37"/>
      <c r="I35" s="37">
        <v>80</v>
      </c>
      <c r="J35" s="37"/>
      <c r="K35" s="38">
        <v>390.5</v>
      </c>
      <c r="L35" s="39">
        <v>862.6</v>
      </c>
      <c r="M35" s="40">
        <v>0</v>
      </c>
      <c r="N35" s="40">
        <v>0</v>
      </c>
      <c r="O35" s="40">
        <v>2426.4</v>
      </c>
      <c r="P35" s="37"/>
      <c r="Q35" s="123" t="s">
        <v>51</v>
      </c>
      <c r="R35" s="122">
        <v>29</v>
      </c>
      <c r="S35" s="4" t="s">
        <v>68</v>
      </c>
      <c r="T35" s="6">
        <v>18</v>
      </c>
      <c r="U35" s="41" t="s">
        <v>52</v>
      </c>
      <c r="V35" s="40">
        <v>871</v>
      </c>
      <c r="W35" s="3">
        <v>20.6</v>
      </c>
      <c r="X35" s="3">
        <v>694564.44</v>
      </c>
      <c r="Y35" s="3">
        <v>701624.23</v>
      </c>
      <c r="Z35" s="3">
        <f t="shared" si="2"/>
        <v>101.01643412668808</v>
      </c>
      <c r="AA35" s="3">
        <f t="shared" si="29"/>
        <v>-77430.90721983323</v>
      </c>
      <c r="AB35" s="3">
        <f t="shared" si="3"/>
        <v>779055.1372198332</v>
      </c>
      <c r="AC35" s="107">
        <f t="shared" si="4"/>
        <v>660216.2179829095</v>
      </c>
      <c r="AD35" s="122">
        <v>29</v>
      </c>
      <c r="AE35" s="4" t="s">
        <v>68</v>
      </c>
      <c r="AF35" s="6">
        <v>18</v>
      </c>
      <c r="AG35" s="124">
        <f t="shared" si="5"/>
        <v>98119.91821227681</v>
      </c>
      <c r="AH35" s="124">
        <f>1.03*82.25/79.4</f>
        <v>1.066971032745592</v>
      </c>
      <c r="AI35" s="108">
        <f t="shared" si="6"/>
        <v>73583.51094584382</v>
      </c>
      <c r="AJ35" s="108">
        <f t="shared" si="30"/>
        <v>17740.92415056397</v>
      </c>
      <c r="AK35" s="124">
        <f t="shared" si="7"/>
        <v>91324.43509640779</v>
      </c>
      <c r="AL35" s="109">
        <f t="shared" si="8"/>
        <v>6795.483115869017</v>
      </c>
      <c r="AM35" s="122">
        <v>29</v>
      </c>
      <c r="AN35" s="4" t="s">
        <v>68</v>
      </c>
      <c r="AO35" s="6">
        <v>18</v>
      </c>
      <c r="AP35" s="2">
        <f t="shared" si="9"/>
        <v>269190.30235051486</v>
      </c>
      <c r="AQ35" s="2">
        <f>1.006+0.02</f>
        <v>1.026</v>
      </c>
      <c r="AR35" s="24">
        <f t="shared" si="10"/>
        <v>135172.31437535546</v>
      </c>
      <c r="AS35" s="24">
        <f t="shared" si="11"/>
        <v>36510.63401516588</v>
      </c>
      <c r="AT35" s="110">
        <v>51596.43</v>
      </c>
      <c r="AU35" s="60">
        <f t="shared" si="0"/>
        <v>2247.359163013918</v>
      </c>
      <c r="AV35" s="122">
        <v>29</v>
      </c>
      <c r="AW35" s="4" t="s">
        <v>68</v>
      </c>
      <c r="AX35" s="6">
        <v>18</v>
      </c>
      <c r="AY35" s="14">
        <f t="shared" si="12"/>
        <v>0</v>
      </c>
      <c r="AZ35" s="7"/>
      <c r="BA35" s="2"/>
      <c r="BB35" s="2"/>
      <c r="BC35" s="25">
        <f t="shared" si="13"/>
        <v>0.1545474081601891</v>
      </c>
      <c r="BD35" s="25">
        <f t="shared" si="14"/>
        <v>24814.153350339464</v>
      </c>
      <c r="BE35" s="24">
        <f t="shared" si="15"/>
        <v>6558.731941179785</v>
      </c>
      <c r="BF35" s="111">
        <f t="shared" si="16"/>
        <v>12290.67950546035</v>
      </c>
      <c r="BG35" s="122">
        <v>29</v>
      </c>
      <c r="BH35" s="4" t="s">
        <v>68</v>
      </c>
      <c r="BI35" s="6">
        <v>18</v>
      </c>
      <c r="BJ35" s="24">
        <f t="shared" si="17"/>
        <v>38456.646858071304</v>
      </c>
      <c r="BK35" s="24"/>
      <c r="BL35" s="14">
        <f t="shared" si="18"/>
        <v>1405.0067853109579</v>
      </c>
      <c r="BM35" s="2"/>
      <c r="BN35" s="2"/>
      <c r="BO35" s="2"/>
      <c r="BP35" s="42"/>
      <c r="BQ35" s="122">
        <v>29</v>
      </c>
      <c r="BR35" s="4" t="s">
        <v>68</v>
      </c>
      <c r="BS35" s="6">
        <v>18</v>
      </c>
      <c r="BT35" s="2">
        <f t="shared" si="31"/>
        <v>433.6541810642709</v>
      </c>
      <c r="BU35" s="2">
        <f t="shared" si="32"/>
        <v>5920</v>
      </c>
      <c r="BV35" s="2">
        <f>12437.88+7046.39</f>
        <v>19484.27</v>
      </c>
      <c r="BW35" s="24">
        <f t="shared" si="19"/>
        <v>4926.249073760146</v>
      </c>
      <c r="BX35" s="2"/>
      <c r="BY35" s="35">
        <f t="shared" si="20"/>
        <v>6287.466817935926</v>
      </c>
      <c r="BZ35" s="122">
        <v>29</v>
      </c>
      <c r="CA35" s="4" t="s">
        <v>68</v>
      </c>
      <c r="CB35" s="6">
        <v>18</v>
      </c>
      <c r="CC35" s="125">
        <f t="shared" si="1"/>
        <v>144272.85930567703</v>
      </c>
      <c r="CD35" s="112">
        <f t="shared" si="21"/>
        <v>0.5423209049984818</v>
      </c>
      <c r="CE35" s="108">
        <f t="shared" si="22"/>
        <v>101217.13761385481</v>
      </c>
      <c r="CF35" s="108">
        <f t="shared" si="23"/>
        <v>27797.07470170864</v>
      </c>
      <c r="CG35" s="108">
        <f t="shared" si="24"/>
        <v>15258.646990113593</v>
      </c>
      <c r="CH35" s="113">
        <f t="shared" si="25"/>
        <v>82988.52863453684</v>
      </c>
      <c r="CI35" s="114">
        <f t="shared" si="26"/>
        <v>8777.72475152493</v>
      </c>
      <c r="CJ35" s="114">
        <f t="shared" si="27"/>
        <v>17780.094838631623</v>
      </c>
      <c r="CK35" s="115">
        <f t="shared" si="28"/>
        <v>630.1430316760843</v>
      </c>
      <c r="CL35" s="122">
        <v>29</v>
      </c>
      <c r="CM35" s="4" t="s">
        <v>68</v>
      </c>
      <c r="CN35" s="6">
        <v>18</v>
      </c>
      <c r="CO35" s="126">
        <v>144982.44</v>
      </c>
      <c r="CP35" s="127">
        <v>142274.27</v>
      </c>
      <c r="CQ35" s="128"/>
      <c r="CR35" s="122">
        <v>29</v>
      </c>
      <c r="CS35" s="4" t="s">
        <v>68</v>
      </c>
      <c r="CT35" s="6">
        <v>18</v>
      </c>
      <c r="CU35" s="129">
        <v>1.37</v>
      </c>
      <c r="CV35" s="130">
        <v>17685.59</v>
      </c>
      <c r="CW35" s="130">
        <v>19417.98</v>
      </c>
      <c r="CX35" s="12"/>
      <c r="CY35" s="8"/>
      <c r="CZ35" s="64"/>
      <c r="DA35" s="61"/>
      <c r="DB35" s="122">
        <v>29</v>
      </c>
      <c r="DC35" s="4" t="s">
        <v>68</v>
      </c>
      <c r="DD35" s="6">
        <v>18</v>
      </c>
      <c r="DE35" s="131">
        <v>1.04</v>
      </c>
      <c r="DF35" s="131">
        <v>7532.79</v>
      </c>
      <c r="DG35" s="133">
        <v>7059.38</v>
      </c>
      <c r="DH35" s="16"/>
      <c r="DI35" s="16"/>
      <c r="DJ35" s="16"/>
      <c r="DK35" s="16"/>
      <c r="DL35" s="16"/>
    </row>
    <row r="36" spans="1:116" ht="12" customHeight="1">
      <c r="A36" s="122">
        <v>30</v>
      </c>
      <c r="B36" s="4" t="s">
        <v>68</v>
      </c>
      <c r="C36" s="6">
        <v>19</v>
      </c>
      <c r="D36" s="43">
        <v>3175.4</v>
      </c>
      <c r="E36" s="36">
        <v>1963</v>
      </c>
      <c r="F36" s="37">
        <v>4</v>
      </c>
      <c r="G36" s="37">
        <v>5</v>
      </c>
      <c r="H36" s="37"/>
      <c r="I36" s="37">
        <v>80</v>
      </c>
      <c r="J36" s="37"/>
      <c r="K36" s="38">
        <v>305.6</v>
      </c>
      <c r="L36" s="39">
        <v>995</v>
      </c>
      <c r="M36" s="40">
        <v>0</v>
      </c>
      <c r="N36" s="40">
        <v>0</v>
      </c>
      <c r="O36" s="40">
        <v>2626</v>
      </c>
      <c r="P36" s="37"/>
      <c r="Q36" s="123" t="s">
        <v>51</v>
      </c>
      <c r="R36" s="122">
        <v>30</v>
      </c>
      <c r="S36" s="4" t="s">
        <v>68</v>
      </c>
      <c r="T36" s="6">
        <v>19</v>
      </c>
      <c r="U36" s="41" t="s">
        <v>52</v>
      </c>
      <c r="V36" s="40">
        <v>1072</v>
      </c>
      <c r="W36" s="3">
        <v>20.6</v>
      </c>
      <c r="X36" s="3">
        <v>763050.06</v>
      </c>
      <c r="Y36" s="3">
        <v>755248.21</v>
      </c>
      <c r="Z36" s="3">
        <f t="shared" si="2"/>
        <v>98.97754414697248</v>
      </c>
      <c r="AA36" s="3">
        <f t="shared" si="29"/>
        <v>-64857.99335156439</v>
      </c>
      <c r="AB36" s="3">
        <f t="shared" si="3"/>
        <v>820106.2033515644</v>
      </c>
      <c r="AC36" s="107">
        <f t="shared" si="4"/>
        <v>695005.257077597</v>
      </c>
      <c r="AD36" s="122">
        <v>30</v>
      </c>
      <c r="AE36" s="4" t="s">
        <v>68</v>
      </c>
      <c r="AF36" s="6">
        <v>19</v>
      </c>
      <c r="AG36" s="124">
        <f t="shared" si="5"/>
        <v>93356.81538643815</v>
      </c>
      <c r="AH36" s="124">
        <f>0.98*82.25/79.4</f>
        <v>1.015176322418136</v>
      </c>
      <c r="AI36" s="108">
        <f t="shared" si="6"/>
        <v>70011.49585138539</v>
      </c>
      <c r="AJ36" s="108">
        <f t="shared" si="30"/>
        <v>16879.714240342422</v>
      </c>
      <c r="AK36" s="124">
        <f t="shared" si="7"/>
        <v>86891.21009172781</v>
      </c>
      <c r="AL36" s="109">
        <f t="shared" si="8"/>
        <v>6465.605294710327</v>
      </c>
      <c r="AM36" s="122">
        <v>30</v>
      </c>
      <c r="AN36" s="4" t="s">
        <v>68</v>
      </c>
      <c r="AO36" s="6">
        <v>19</v>
      </c>
      <c r="AP36" s="2">
        <f t="shared" si="9"/>
        <v>289910.1461167613</v>
      </c>
      <c r="AQ36" s="2">
        <f>1.073+0.018</f>
        <v>1.091</v>
      </c>
      <c r="AR36" s="24">
        <f t="shared" si="10"/>
        <v>143735.86255703002</v>
      </c>
      <c r="AS36" s="24">
        <f t="shared" si="11"/>
        <v>38823.685877725125</v>
      </c>
      <c r="AT36" s="110">
        <v>41014.33</v>
      </c>
      <c r="AU36" s="60">
        <f t="shared" si="0"/>
        <v>2400.106298000805</v>
      </c>
      <c r="AV36" s="122">
        <v>30</v>
      </c>
      <c r="AW36" s="4" t="s">
        <v>68</v>
      </c>
      <c r="AX36" s="6">
        <v>19</v>
      </c>
      <c r="AY36" s="14">
        <f t="shared" si="12"/>
        <v>15967.27</v>
      </c>
      <c r="AZ36" s="2">
        <v>15967.27</v>
      </c>
      <c r="BA36" s="2"/>
      <c r="BB36" s="2"/>
      <c r="BC36" s="25">
        <f t="shared" si="13"/>
        <v>0.16978613336280948</v>
      </c>
      <c r="BD36" s="25">
        <f t="shared" si="14"/>
        <v>27260.885188440334</v>
      </c>
      <c r="BE36" s="24">
        <f t="shared" si="15"/>
        <v>7205.437796160494</v>
      </c>
      <c r="BF36" s="111">
        <f t="shared" si="16"/>
        <v>13502.56839940451</v>
      </c>
      <c r="BG36" s="122">
        <v>30</v>
      </c>
      <c r="BH36" s="4" t="s">
        <v>68</v>
      </c>
      <c r="BI36" s="6">
        <v>19</v>
      </c>
      <c r="BJ36" s="24">
        <f t="shared" si="17"/>
        <v>32199.661553250862</v>
      </c>
      <c r="BK36" s="24"/>
      <c r="BL36" s="14">
        <f t="shared" si="18"/>
        <v>1543.543643120819</v>
      </c>
      <c r="BM36" s="2"/>
      <c r="BN36" s="2"/>
      <c r="BO36" s="2"/>
      <c r="BP36" s="42"/>
      <c r="BQ36" s="122">
        <v>30</v>
      </c>
      <c r="BR36" s="4" t="s">
        <v>68</v>
      </c>
      <c r="BS36" s="6">
        <v>19</v>
      </c>
      <c r="BT36" s="2">
        <f t="shared" si="31"/>
        <v>433.6541810642709</v>
      </c>
      <c r="BU36" s="2">
        <f t="shared" si="32"/>
        <v>5920</v>
      </c>
      <c r="BV36" s="2"/>
      <c r="BW36" s="24">
        <f t="shared" si="19"/>
        <v>5411.98841295944</v>
      </c>
      <c r="BX36" s="2">
        <v>11983.05</v>
      </c>
      <c r="BY36" s="35">
        <f t="shared" si="20"/>
        <v>6907.425316106332</v>
      </c>
      <c r="BZ36" s="122">
        <v>30</v>
      </c>
      <c r="CA36" s="4" t="s">
        <v>68</v>
      </c>
      <c r="CB36" s="6">
        <v>19</v>
      </c>
      <c r="CC36" s="125">
        <f t="shared" si="1"/>
        <v>158498.4906723107</v>
      </c>
      <c r="CD36" s="112">
        <f t="shared" si="21"/>
        <v>0.5957949770731314</v>
      </c>
      <c r="CE36" s="108">
        <f t="shared" si="22"/>
        <v>111197.37710318106</v>
      </c>
      <c r="CF36" s="108">
        <f t="shared" si="23"/>
        <v>30537.929355039305</v>
      </c>
      <c r="CG36" s="108">
        <f t="shared" si="24"/>
        <v>16763.18421409033</v>
      </c>
      <c r="CH36" s="113">
        <f t="shared" si="25"/>
        <v>91171.38590717834</v>
      </c>
      <c r="CI36" s="114">
        <f t="shared" si="26"/>
        <v>9643.228333791953</v>
      </c>
      <c r="CJ36" s="114">
        <f t="shared" si="27"/>
        <v>19533.252543105056</v>
      </c>
      <c r="CK36" s="115">
        <f t="shared" si="28"/>
        <v>692.2765647606691</v>
      </c>
      <c r="CL36" s="122">
        <v>30</v>
      </c>
      <c r="CM36" s="4" t="s">
        <v>68</v>
      </c>
      <c r="CN36" s="6">
        <v>19</v>
      </c>
      <c r="CO36" s="126">
        <v>159277.92</v>
      </c>
      <c r="CP36" s="127">
        <v>149730.19</v>
      </c>
      <c r="CQ36" s="128"/>
      <c r="CR36" s="122">
        <v>30</v>
      </c>
      <c r="CS36" s="4" t="s">
        <v>68</v>
      </c>
      <c r="CT36" s="6">
        <v>19</v>
      </c>
      <c r="CU36" s="129">
        <v>1.37</v>
      </c>
      <c r="CV36" s="130">
        <v>21496.96</v>
      </c>
      <c r="CW36" s="130">
        <v>22273.06</v>
      </c>
      <c r="CX36" s="12"/>
      <c r="CY36" s="8"/>
      <c r="CZ36" s="64"/>
      <c r="DA36" s="61"/>
      <c r="DB36" s="122">
        <v>30</v>
      </c>
      <c r="DC36" s="4" t="s">
        <v>68</v>
      </c>
      <c r="DD36" s="6">
        <v>19</v>
      </c>
      <c r="DE36" s="131">
        <v>1.04</v>
      </c>
      <c r="DF36" s="131">
        <v>4620</v>
      </c>
      <c r="DG36" s="133">
        <v>4520.73</v>
      </c>
      <c r="DH36" s="16"/>
      <c r="DI36" s="16"/>
      <c r="DJ36" s="16"/>
      <c r="DK36" s="16"/>
      <c r="DL36" s="16"/>
    </row>
    <row r="37" spans="1:116" ht="12" customHeight="1">
      <c r="A37" s="105">
        <v>31</v>
      </c>
      <c r="B37" s="21" t="s">
        <v>68</v>
      </c>
      <c r="C37" s="23">
        <v>21</v>
      </c>
      <c r="D37" s="24">
        <v>3202.6</v>
      </c>
      <c r="E37" s="29">
        <v>1963</v>
      </c>
      <c r="F37" s="30">
        <v>4</v>
      </c>
      <c r="G37" s="30">
        <v>5</v>
      </c>
      <c r="H37" s="30"/>
      <c r="I37" s="30">
        <v>80</v>
      </c>
      <c r="J37" s="30"/>
      <c r="K37" s="31">
        <v>300</v>
      </c>
      <c r="L37" s="32">
        <f>257+537</f>
        <v>794</v>
      </c>
      <c r="M37" s="33">
        <v>0</v>
      </c>
      <c r="N37" s="33">
        <v>0</v>
      </c>
      <c r="O37" s="33">
        <v>2166</v>
      </c>
      <c r="P37" s="30"/>
      <c r="Q37" s="106" t="s">
        <v>51</v>
      </c>
      <c r="R37" s="105">
        <v>31</v>
      </c>
      <c r="S37" s="21" t="s">
        <v>68</v>
      </c>
      <c r="T37" s="23">
        <v>21</v>
      </c>
      <c r="U37" s="34" t="s">
        <v>52</v>
      </c>
      <c r="V37" s="33">
        <v>1106</v>
      </c>
      <c r="W37" s="3">
        <v>20.6</v>
      </c>
      <c r="X37" s="25">
        <v>769586.04</v>
      </c>
      <c r="Y37" s="25">
        <v>761483.41</v>
      </c>
      <c r="Z37" s="25">
        <f t="shared" si="2"/>
        <v>98.94714436348143</v>
      </c>
      <c r="AA37" s="25">
        <f t="shared" si="29"/>
        <v>-21203.574877403793</v>
      </c>
      <c r="AB37" s="25">
        <f t="shared" si="3"/>
        <v>782686.9848774038</v>
      </c>
      <c r="AC37" s="107">
        <f t="shared" si="4"/>
        <v>663294.0549808508</v>
      </c>
      <c r="AD37" s="105">
        <v>31</v>
      </c>
      <c r="AE37" s="21" t="s">
        <v>68</v>
      </c>
      <c r="AF37" s="23">
        <v>21</v>
      </c>
      <c r="AG37" s="108">
        <f t="shared" si="5"/>
        <v>81925.36860442528</v>
      </c>
      <c r="AH37" s="108">
        <f>0.86*82.25/79.4</f>
        <v>0.8908690176322417</v>
      </c>
      <c r="AI37" s="108">
        <f t="shared" si="6"/>
        <v>61438.659624685126</v>
      </c>
      <c r="AJ37" s="108">
        <f t="shared" si="30"/>
        <v>14812.810455810692</v>
      </c>
      <c r="AK37" s="108">
        <f t="shared" si="7"/>
        <v>76251.47008049581</v>
      </c>
      <c r="AL37" s="109">
        <f t="shared" si="8"/>
        <v>5673.89852392947</v>
      </c>
      <c r="AM37" s="105">
        <v>31</v>
      </c>
      <c r="AN37" s="21" t="s">
        <v>68</v>
      </c>
      <c r="AO37" s="23">
        <v>21</v>
      </c>
      <c r="AP37" s="24">
        <f t="shared" si="9"/>
        <v>279100.2067887071</v>
      </c>
      <c r="AQ37" s="24">
        <f>1.081+0.018</f>
        <v>1.099</v>
      </c>
      <c r="AR37" s="24">
        <f t="shared" si="10"/>
        <v>144789.8377178515</v>
      </c>
      <c r="AS37" s="24">
        <f t="shared" si="11"/>
        <v>39108.369183886265</v>
      </c>
      <c r="AT37" s="110">
        <v>44404.11</v>
      </c>
      <c r="AU37" s="60">
        <f t="shared" si="0"/>
        <v>2418.104176061918</v>
      </c>
      <c r="AV37" s="105">
        <v>31</v>
      </c>
      <c r="AW37" s="21" t="s">
        <v>68</v>
      </c>
      <c r="AX37" s="23">
        <v>21</v>
      </c>
      <c r="AY37" s="14">
        <f t="shared" si="12"/>
        <v>0</v>
      </c>
      <c r="AZ37" s="14"/>
      <c r="BA37" s="24"/>
      <c r="BB37" s="24"/>
      <c r="BC37" s="25">
        <f t="shared" si="13"/>
        <v>0.17124049590846305</v>
      </c>
      <c r="BD37" s="25">
        <f t="shared" si="14"/>
        <v>27494.39784105908</v>
      </c>
      <c r="BE37" s="24">
        <f t="shared" si="15"/>
        <v>7267.158495302511</v>
      </c>
      <c r="BF37" s="111">
        <f t="shared" si="16"/>
        <v>13618.229374545846</v>
      </c>
      <c r="BG37" s="105">
        <v>31</v>
      </c>
      <c r="BH37" s="21" t="s">
        <v>68</v>
      </c>
      <c r="BI37" s="23">
        <v>21</v>
      </c>
      <c r="BJ37" s="24">
        <f t="shared" si="17"/>
        <v>20335.35956626449</v>
      </c>
      <c r="BK37" s="24"/>
      <c r="BL37" s="14">
        <f t="shared" si="18"/>
        <v>1556.765406392497</v>
      </c>
      <c r="BM37" s="24"/>
      <c r="BN37" s="24"/>
      <c r="BO37" s="24"/>
      <c r="BP37" s="35"/>
      <c r="BQ37" s="105">
        <v>31</v>
      </c>
      <c r="BR37" s="21" t="s">
        <v>68</v>
      </c>
      <c r="BS37" s="23">
        <v>21</v>
      </c>
      <c r="BT37" s="24">
        <f t="shared" si="31"/>
        <v>433.6541810642709</v>
      </c>
      <c r="BU37" s="2">
        <f t="shared" si="32"/>
        <v>5920</v>
      </c>
      <c r="BV37" s="2"/>
      <c r="BW37" s="24">
        <f t="shared" si="19"/>
        <v>5458.3466937531975</v>
      </c>
      <c r="BX37" s="24"/>
      <c r="BY37" s="35">
        <f t="shared" si="20"/>
        <v>6966.593285054524</v>
      </c>
      <c r="BZ37" s="105">
        <v>31</v>
      </c>
      <c r="CA37" s="21" t="s">
        <v>68</v>
      </c>
      <c r="CB37" s="23">
        <v>21</v>
      </c>
      <c r="CC37" s="112">
        <f t="shared" si="1"/>
        <v>159856.1649641438</v>
      </c>
      <c r="CD37" s="112">
        <f t="shared" si="21"/>
        <v>0.6008984674606067</v>
      </c>
      <c r="CE37" s="108">
        <f t="shared" si="22"/>
        <v>112149.87715268867</v>
      </c>
      <c r="CF37" s="108">
        <f t="shared" si="23"/>
        <v>30799.512676339633</v>
      </c>
      <c r="CG37" s="108">
        <f t="shared" si="24"/>
        <v>16906.77513511548</v>
      </c>
      <c r="CH37" s="113">
        <f t="shared" si="25"/>
        <v>91952.34632056727</v>
      </c>
      <c r="CI37" s="114">
        <f t="shared" si="26"/>
        <v>9725.830780941647</v>
      </c>
      <c r="CJ37" s="114">
        <f t="shared" si="27"/>
        <v>19700.57145384778</v>
      </c>
      <c r="CK37" s="115">
        <f t="shared" si="28"/>
        <v>698.2065019533031</v>
      </c>
      <c r="CL37" s="105">
        <v>31</v>
      </c>
      <c r="CM37" s="21" t="s">
        <v>68</v>
      </c>
      <c r="CN37" s="23">
        <v>21</v>
      </c>
      <c r="CO37" s="116">
        <v>160642.5</v>
      </c>
      <c r="CP37" s="117">
        <v>178279.96</v>
      </c>
      <c r="CQ37" s="118"/>
      <c r="CR37" s="105">
        <v>31</v>
      </c>
      <c r="CS37" s="21" t="s">
        <v>68</v>
      </c>
      <c r="CT37" s="23">
        <v>21</v>
      </c>
      <c r="CU37" s="119">
        <v>1.37</v>
      </c>
      <c r="CV37" s="113">
        <v>17828.76</v>
      </c>
      <c r="CW37" s="113">
        <v>19495.15</v>
      </c>
      <c r="CX37" s="27"/>
      <c r="CY37" s="26"/>
      <c r="CZ37" s="63"/>
      <c r="DA37" s="60"/>
      <c r="DB37" s="105">
        <v>31</v>
      </c>
      <c r="DC37" s="21" t="s">
        <v>68</v>
      </c>
      <c r="DD37" s="23">
        <v>21</v>
      </c>
      <c r="DE37" s="113">
        <v>1.04</v>
      </c>
      <c r="DF37" s="113">
        <v>9038.64</v>
      </c>
      <c r="DG37" s="121">
        <v>8721.07</v>
      </c>
      <c r="DH37" s="28"/>
      <c r="DI37" s="28"/>
      <c r="DJ37" s="28"/>
      <c r="DK37" s="28"/>
      <c r="DL37" s="28"/>
    </row>
    <row r="38" spans="1:116" ht="12" customHeight="1">
      <c r="A38" s="122">
        <v>32</v>
      </c>
      <c r="B38" s="4" t="s">
        <v>68</v>
      </c>
      <c r="C38" s="6">
        <v>22</v>
      </c>
      <c r="D38" s="43">
        <v>8421.3</v>
      </c>
      <c r="E38" s="36">
        <v>1975</v>
      </c>
      <c r="F38" s="37">
        <v>4</v>
      </c>
      <c r="G38" s="37">
        <v>9</v>
      </c>
      <c r="H38" s="37">
        <v>4</v>
      </c>
      <c r="I38" s="37">
        <v>197</v>
      </c>
      <c r="J38" s="37"/>
      <c r="K38" s="38">
        <v>648</v>
      </c>
      <c r="L38" s="39">
        <f>3925.4</f>
        <v>3925.4</v>
      </c>
      <c r="M38" s="40">
        <v>0</v>
      </c>
      <c r="N38" s="40">
        <v>1334.6</v>
      </c>
      <c r="O38" s="40">
        <v>2550</v>
      </c>
      <c r="P38" s="37"/>
      <c r="Q38" s="123" t="s">
        <v>51</v>
      </c>
      <c r="R38" s="122">
        <v>32</v>
      </c>
      <c r="S38" s="4" t="s">
        <v>68</v>
      </c>
      <c r="T38" s="6">
        <v>22</v>
      </c>
      <c r="U38" s="41" t="s">
        <v>49</v>
      </c>
      <c r="V38" s="40">
        <v>1540</v>
      </c>
      <c r="W38" s="3">
        <v>26.34</v>
      </c>
      <c r="X38" s="3">
        <v>2596004.22</v>
      </c>
      <c r="Y38" s="3">
        <v>2571958.87</v>
      </c>
      <c r="Z38" s="3">
        <f t="shared" si="2"/>
        <v>99.07375535776286</v>
      </c>
      <c r="AA38" s="3">
        <f t="shared" si="29"/>
        <v>-76807.18018308515</v>
      </c>
      <c r="AB38" s="3">
        <f t="shared" si="3"/>
        <v>2648766.0501830853</v>
      </c>
      <c r="AC38" s="107">
        <f t="shared" si="4"/>
        <v>2244716.9916805807</v>
      </c>
      <c r="AD38" s="122">
        <v>32</v>
      </c>
      <c r="AE38" s="4" t="s">
        <v>68</v>
      </c>
      <c r="AF38" s="6">
        <v>22</v>
      </c>
      <c r="AG38" s="124">
        <f t="shared" si="5"/>
        <v>252444.44976945006</v>
      </c>
      <c r="AH38" s="124">
        <f>2.65*82.25/79.4</f>
        <v>2.7451196473551636</v>
      </c>
      <c r="AI38" s="108">
        <f t="shared" si="6"/>
        <v>189316.8000062972</v>
      </c>
      <c r="AJ38" s="108">
        <f t="shared" si="30"/>
        <v>45644.12524174226</v>
      </c>
      <c r="AK38" s="124">
        <f t="shared" si="7"/>
        <v>234960.92524803948</v>
      </c>
      <c r="AL38" s="109">
        <f t="shared" si="8"/>
        <v>17483.524521410578</v>
      </c>
      <c r="AM38" s="122">
        <v>32</v>
      </c>
      <c r="AN38" s="4" t="s">
        <v>68</v>
      </c>
      <c r="AO38" s="6">
        <v>22</v>
      </c>
      <c r="AP38" s="2">
        <f t="shared" si="9"/>
        <v>789490.3257299436</v>
      </c>
      <c r="AQ38" s="2">
        <f>3.091+0.02</f>
        <v>3.111</v>
      </c>
      <c r="AR38" s="24">
        <f t="shared" si="10"/>
        <v>409864.590664455</v>
      </c>
      <c r="AS38" s="24">
        <f t="shared" si="11"/>
        <v>110706.22068341235</v>
      </c>
      <c r="AT38" s="110">
        <v>134924.45</v>
      </c>
      <c r="AU38" s="60">
        <f t="shared" si="0"/>
        <v>6779.461619550431</v>
      </c>
      <c r="AV38" s="122">
        <v>32</v>
      </c>
      <c r="AW38" s="4" t="s">
        <v>68</v>
      </c>
      <c r="AX38" s="6">
        <v>22</v>
      </c>
      <c r="AY38" s="14">
        <f t="shared" si="12"/>
        <v>0</v>
      </c>
      <c r="AZ38" s="7"/>
      <c r="BA38" s="2"/>
      <c r="BB38" s="2"/>
      <c r="BC38" s="25">
        <f t="shared" si="13"/>
        <v>0.4502802685923749</v>
      </c>
      <c r="BD38" s="25">
        <f t="shared" si="14"/>
        <v>72297.06255508363</v>
      </c>
      <c r="BE38" s="24">
        <f t="shared" si="15"/>
        <v>19109.13690017206</v>
      </c>
      <c r="BF38" s="111">
        <f t="shared" si="16"/>
        <v>35809.40330727001</v>
      </c>
      <c r="BG38" s="122">
        <v>32</v>
      </c>
      <c r="BH38" s="4" t="s">
        <v>68</v>
      </c>
      <c r="BI38" s="6">
        <v>22</v>
      </c>
      <c r="BJ38" s="24">
        <f t="shared" si="17"/>
        <v>461433.50462286966</v>
      </c>
      <c r="BK38" s="24"/>
      <c r="BL38" s="14">
        <f t="shared" si="18"/>
        <v>4093.5454058743317</v>
      </c>
      <c r="BM38" s="2">
        <f>28000/37*4</f>
        <v>3027.027027027027</v>
      </c>
      <c r="BN38" s="2">
        <f>141316.88/37*4</f>
        <v>15277.50054054054</v>
      </c>
      <c r="BO38" s="2">
        <f>35936.8/37*4</f>
        <v>3885.05945945946</v>
      </c>
      <c r="BP38" s="42">
        <f>3713050.58/37*4</f>
        <v>401410.87351351354</v>
      </c>
      <c r="BQ38" s="122">
        <v>32</v>
      </c>
      <c r="BR38" s="4" t="s">
        <v>68</v>
      </c>
      <c r="BS38" s="6">
        <v>22</v>
      </c>
      <c r="BT38" s="2">
        <f t="shared" si="31"/>
        <v>1067.8734208707672</v>
      </c>
      <c r="BU38" s="2"/>
      <c r="BV38" s="2"/>
      <c r="BW38" s="24">
        <f t="shared" si="19"/>
        <v>14352.830516487791</v>
      </c>
      <c r="BX38" s="2"/>
      <c r="BY38" s="35">
        <f t="shared" si="20"/>
        <v>18318.794739096254</v>
      </c>
      <c r="BZ38" s="122">
        <v>32</v>
      </c>
      <c r="CA38" s="4" t="s">
        <v>68</v>
      </c>
      <c r="CB38" s="6">
        <v>22</v>
      </c>
      <c r="CC38" s="125">
        <f t="shared" si="1"/>
        <v>420344.94536081434</v>
      </c>
      <c r="CD38" s="112">
        <f t="shared" si="21"/>
        <v>1.5800743970605156</v>
      </c>
      <c r="CE38" s="108">
        <f t="shared" si="22"/>
        <v>294900.318636713</v>
      </c>
      <c r="CF38" s="108">
        <f t="shared" si="23"/>
        <v>80987.92734067912</v>
      </c>
      <c r="CG38" s="108">
        <f t="shared" si="24"/>
        <v>44456.699383422216</v>
      </c>
      <c r="CH38" s="113">
        <f t="shared" si="25"/>
        <v>241790.51210559954</v>
      </c>
      <c r="CI38" s="114">
        <f t="shared" si="26"/>
        <v>25574.264271386965</v>
      </c>
      <c r="CJ38" s="114">
        <f t="shared" si="27"/>
        <v>51803.04202344605</v>
      </c>
      <c r="CK38" s="135">
        <f t="shared" si="28"/>
        <v>1835.9477970709272</v>
      </c>
      <c r="CL38" s="122">
        <v>32</v>
      </c>
      <c r="CM38" s="4" t="s">
        <v>68</v>
      </c>
      <c r="CN38" s="6">
        <v>22</v>
      </c>
      <c r="CO38" s="126">
        <v>422394.52</v>
      </c>
      <c r="CP38" s="127">
        <v>410186.82</v>
      </c>
      <c r="CQ38" s="128"/>
      <c r="CR38" s="122">
        <v>32</v>
      </c>
      <c r="CS38" s="4" t="s">
        <v>68</v>
      </c>
      <c r="CT38" s="6">
        <v>22</v>
      </c>
      <c r="CU38" s="129">
        <v>1.37</v>
      </c>
      <c r="CV38" s="130">
        <v>55056.37</v>
      </c>
      <c r="CW38" s="130">
        <v>58931.64</v>
      </c>
      <c r="CX38" s="12"/>
      <c r="CY38" s="8"/>
      <c r="CZ38" s="64"/>
      <c r="DA38" s="61"/>
      <c r="DB38" s="122">
        <v>32</v>
      </c>
      <c r="DC38" s="4" t="s">
        <v>68</v>
      </c>
      <c r="DD38" s="6">
        <v>22</v>
      </c>
      <c r="DE38" s="131">
        <v>1.31</v>
      </c>
      <c r="DF38" s="131">
        <v>19193.21</v>
      </c>
      <c r="DG38" s="133">
        <v>16364.86</v>
      </c>
      <c r="DH38" s="16"/>
      <c r="DI38" s="16"/>
      <c r="DJ38" s="16"/>
      <c r="DK38" s="16"/>
      <c r="DL38" s="16"/>
    </row>
    <row r="39" spans="1:116" ht="12" customHeight="1">
      <c r="A39" s="122">
        <v>33</v>
      </c>
      <c r="B39" s="4" t="s">
        <v>68</v>
      </c>
      <c r="C39" s="6">
        <v>23</v>
      </c>
      <c r="D39" s="43">
        <v>2565.9</v>
      </c>
      <c r="E39" s="36">
        <v>1964</v>
      </c>
      <c r="F39" s="37">
        <v>4</v>
      </c>
      <c r="G39" s="37">
        <v>5</v>
      </c>
      <c r="H39" s="37"/>
      <c r="I39" s="37">
        <v>64</v>
      </c>
      <c r="J39" s="37"/>
      <c r="K39" s="38">
        <v>316.8</v>
      </c>
      <c r="L39" s="39">
        <f>149+17+0</f>
        <v>166</v>
      </c>
      <c r="M39" s="40">
        <v>2416</v>
      </c>
      <c r="N39" s="40">
        <v>374</v>
      </c>
      <c r="O39" s="40">
        <v>1620</v>
      </c>
      <c r="P39" s="37"/>
      <c r="Q39" s="123" t="s">
        <v>51</v>
      </c>
      <c r="R39" s="122">
        <v>33</v>
      </c>
      <c r="S39" s="4" t="s">
        <v>68</v>
      </c>
      <c r="T39" s="6">
        <v>23</v>
      </c>
      <c r="U39" s="41" t="s">
        <v>52</v>
      </c>
      <c r="V39" s="40">
        <v>1065</v>
      </c>
      <c r="W39" s="3">
        <v>20.6</v>
      </c>
      <c r="X39" s="3">
        <v>616586.88</v>
      </c>
      <c r="Y39" s="3">
        <v>617520.72</v>
      </c>
      <c r="Z39" s="3">
        <f t="shared" si="2"/>
        <v>100.15145310908984</v>
      </c>
      <c r="AA39" s="3">
        <f t="shared" si="29"/>
        <v>-166901.84353852307</v>
      </c>
      <c r="AB39" s="3">
        <f t="shared" si="3"/>
        <v>784422.563538523</v>
      </c>
      <c r="AC39" s="107">
        <f t="shared" si="4"/>
        <v>664764.8843546805</v>
      </c>
      <c r="AD39" s="122">
        <v>33</v>
      </c>
      <c r="AE39" s="4" t="s">
        <v>68</v>
      </c>
      <c r="AF39" s="6">
        <v>23</v>
      </c>
      <c r="AG39" s="124">
        <f t="shared" si="5"/>
        <v>157182.39325267644</v>
      </c>
      <c r="AH39" s="124">
        <f>1.65*82.25/79.4</f>
        <v>1.7092254408060452</v>
      </c>
      <c r="AI39" s="108">
        <f t="shared" si="6"/>
        <v>117876.49811712846</v>
      </c>
      <c r="AJ39" s="108">
        <f t="shared" si="30"/>
        <v>28419.927037311216</v>
      </c>
      <c r="AK39" s="124">
        <f t="shared" si="7"/>
        <v>146296.42515443967</v>
      </c>
      <c r="AL39" s="109">
        <f t="shared" si="8"/>
        <v>10885.968098236775</v>
      </c>
      <c r="AM39" s="122">
        <v>33</v>
      </c>
      <c r="AN39" s="4" t="s">
        <v>68</v>
      </c>
      <c r="AO39" s="6">
        <v>23</v>
      </c>
      <c r="AP39" s="2">
        <f aca="true" t="shared" si="33" ref="AP39:AP67">AR39+AS39+AT39+AU39+AY39+BD39+BE39+BF39</f>
        <v>244973.35589025277</v>
      </c>
      <c r="AQ39" s="2">
        <f>1.032+0.018</f>
        <v>1.05</v>
      </c>
      <c r="AR39" s="24">
        <f t="shared" si="10"/>
        <v>138334.23985781992</v>
      </c>
      <c r="AS39" s="24">
        <f t="shared" si="11"/>
        <v>37364.6839336493</v>
      </c>
      <c r="AT39" s="110">
        <v>28252.88</v>
      </c>
      <c r="AU39" s="60">
        <f aca="true" t="shared" si="34" ref="AU39:AU67">141441.83/74.3*(AQ39+BC39)</f>
        <v>2260.0170473823578</v>
      </c>
      <c r="AV39" s="122">
        <v>33</v>
      </c>
      <c r="AW39" s="4" t="s">
        <v>68</v>
      </c>
      <c r="AX39" s="6">
        <v>23</v>
      </c>
      <c r="AY39" s="14">
        <f t="shared" si="12"/>
        <v>0</v>
      </c>
      <c r="AZ39" s="7"/>
      <c r="BA39" s="2"/>
      <c r="BB39" s="2"/>
      <c r="BC39" s="25">
        <f t="shared" si="13"/>
        <v>0.1371966491136968</v>
      </c>
      <c r="BD39" s="25">
        <f t="shared" si="14"/>
        <v>22028.31306450181</v>
      </c>
      <c r="BE39" s="24">
        <f t="shared" si="15"/>
        <v>5822.394923842102</v>
      </c>
      <c r="BF39" s="111">
        <f t="shared" si="16"/>
        <v>10910.827063057262</v>
      </c>
      <c r="BG39" s="122">
        <v>33</v>
      </c>
      <c r="BH39" s="4" t="s">
        <v>68</v>
      </c>
      <c r="BI39" s="6">
        <v>23</v>
      </c>
      <c r="BJ39" s="24">
        <f t="shared" si="17"/>
        <v>36726.35476366277</v>
      </c>
      <c r="BK39" s="24"/>
      <c r="BL39" s="14">
        <f t="shared" si="18"/>
        <v>1247.2692051028878</v>
      </c>
      <c r="BM39" s="2"/>
      <c r="BN39" s="2"/>
      <c r="BO39" s="2"/>
      <c r="BP39" s="42"/>
      <c r="BQ39" s="122">
        <v>33</v>
      </c>
      <c r="BR39" s="4" t="s">
        <v>68</v>
      </c>
      <c r="BS39" s="6">
        <v>23</v>
      </c>
      <c r="BT39" s="2">
        <f t="shared" si="31"/>
        <v>346.92334485141674</v>
      </c>
      <c r="BU39" s="2">
        <f>18.5*I39*4</f>
        <v>4736</v>
      </c>
      <c r="BV39" s="2">
        <v>7604.1</v>
      </c>
      <c r="BW39" s="24">
        <f t="shared" si="19"/>
        <v>4373.187966496387</v>
      </c>
      <c r="BX39" s="2">
        <v>12837.29</v>
      </c>
      <c r="BY39" s="35">
        <f t="shared" si="20"/>
        <v>5581.584247212079</v>
      </c>
      <c r="BZ39" s="122">
        <v>33</v>
      </c>
      <c r="CA39" s="4" t="s">
        <v>68</v>
      </c>
      <c r="CB39" s="6">
        <v>23</v>
      </c>
      <c r="CC39" s="125">
        <f t="shared" si="1"/>
        <v>128075.60534612396</v>
      </c>
      <c r="CD39" s="112">
        <f t="shared" si="21"/>
        <v>0.4814355141626088</v>
      </c>
      <c r="CE39" s="108">
        <f t="shared" si="22"/>
        <v>89853.6719496921</v>
      </c>
      <c r="CF39" s="108">
        <f t="shared" si="23"/>
        <v>24676.34721046021</v>
      </c>
      <c r="CG39" s="108">
        <f t="shared" si="24"/>
        <v>13545.586185971653</v>
      </c>
      <c r="CH39" s="113">
        <f t="shared" si="25"/>
        <v>73671.55605568712</v>
      </c>
      <c r="CI39" s="114">
        <f t="shared" si="26"/>
        <v>7792.2654096103715</v>
      </c>
      <c r="CJ39" s="114">
        <f t="shared" si="27"/>
        <v>15783.955627748712</v>
      </c>
      <c r="CK39" s="115">
        <f t="shared" si="28"/>
        <v>559.3980089183727</v>
      </c>
      <c r="CL39" s="122">
        <v>33</v>
      </c>
      <c r="CM39" s="4" t="s">
        <v>68</v>
      </c>
      <c r="CN39" s="6">
        <v>23</v>
      </c>
      <c r="CO39" s="126">
        <v>128705.64</v>
      </c>
      <c r="CP39" s="127">
        <v>124347.29</v>
      </c>
      <c r="CQ39" s="128"/>
      <c r="CR39" s="122">
        <v>33</v>
      </c>
      <c r="CS39" s="4" t="s">
        <v>68</v>
      </c>
      <c r="CT39" s="6">
        <v>23</v>
      </c>
      <c r="CU39" s="129">
        <v>1.37</v>
      </c>
      <c r="CV39" s="130">
        <v>15867.3</v>
      </c>
      <c r="CW39" s="130">
        <v>17536.65</v>
      </c>
      <c r="CX39" s="12"/>
      <c r="CY39" s="8"/>
      <c r="CZ39" s="64"/>
      <c r="DA39" s="61"/>
      <c r="DB39" s="122">
        <v>33</v>
      </c>
      <c r="DC39" s="4" t="s">
        <v>68</v>
      </c>
      <c r="DD39" s="6">
        <v>23</v>
      </c>
      <c r="DE39" s="131">
        <v>1.04</v>
      </c>
      <c r="DF39" s="131">
        <v>6158.34</v>
      </c>
      <c r="DG39" s="133">
        <v>5327.97</v>
      </c>
      <c r="DH39" s="16"/>
      <c r="DI39" s="16"/>
      <c r="DJ39" s="16"/>
      <c r="DK39" s="16"/>
      <c r="DL39" s="16"/>
    </row>
    <row r="40" spans="1:116" ht="11.25" customHeight="1">
      <c r="A40" s="122">
        <v>34</v>
      </c>
      <c r="B40" s="4" t="s">
        <v>70</v>
      </c>
      <c r="C40" s="6">
        <v>14</v>
      </c>
      <c r="D40" s="43">
        <f>4561.5+4826.8</f>
        <v>9388.3</v>
      </c>
      <c r="E40" s="36">
        <v>1985</v>
      </c>
      <c r="F40" s="37">
        <v>2</v>
      </c>
      <c r="G40" s="37">
        <v>14</v>
      </c>
      <c r="H40" s="37">
        <v>4</v>
      </c>
      <c r="I40" s="37">
        <v>189</v>
      </c>
      <c r="J40" s="37">
        <v>189</v>
      </c>
      <c r="K40" s="45">
        <v>1263.6</v>
      </c>
      <c r="L40" s="39">
        <f>2403</f>
        <v>2403</v>
      </c>
      <c r="M40" s="40">
        <v>0</v>
      </c>
      <c r="N40" s="40">
        <v>0</v>
      </c>
      <c r="O40" s="40">
        <v>9011</v>
      </c>
      <c r="P40" s="37">
        <v>2</v>
      </c>
      <c r="Q40" s="123" t="s">
        <v>51</v>
      </c>
      <c r="R40" s="122">
        <v>34</v>
      </c>
      <c r="S40" s="4" t="s">
        <v>70</v>
      </c>
      <c r="T40" s="6">
        <v>14</v>
      </c>
      <c r="U40" s="41" t="s">
        <v>49</v>
      </c>
      <c r="V40" s="40">
        <v>1174.3</v>
      </c>
      <c r="W40" s="3">
        <v>27.62</v>
      </c>
      <c r="X40" s="3">
        <f>1474893.21+1560632.73</f>
        <v>3035525.94</v>
      </c>
      <c r="Y40" s="3">
        <f>1500941.32+1483692.68</f>
        <v>2984634</v>
      </c>
      <c r="Z40" s="3">
        <f t="shared" si="2"/>
        <v>98.32345560519242</v>
      </c>
      <c r="AA40" s="3">
        <f t="shared" si="29"/>
        <v>150744.2395600672</v>
      </c>
      <c r="AB40" s="3">
        <f t="shared" si="3"/>
        <v>2833889.760439933</v>
      </c>
      <c r="AC40" s="107">
        <f t="shared" si="4"/>
        <v>2401601.4918982484</v>
      </c>
      <c r="AD40" s="122">
        <v>34</v>
      </c>
      <c r="AE40" s="4" t="s">
        <v>70</v>
      </c>
      <c r="AF40" s="6">
        <v>14</v>
      </c>
      <c r="AG40" s="124">
        <f t="shared" si="5"/>
        <v>378190.36437159125</v>
      </c>
      <c r="AH40" s="124">
        <f>3.97*82.25/79.4</f>
        <v>4.1125</v>
      </c>
      <c r="AI40" s="108">
        <f t="shared" si="6"/>
        <v>283617.9985</v>
      </c>
      <c r="AJ40" s="108">
        <f t="shared" si="30"/>
        <v>68380.06687159123</v>
      </c>
      <c r="AK40" s="124">
        <f t="shared" si="7"/>
        <v>351998.06537159125</v>
      </c>
      <c r="AL40" s="109">
        <f t="shared" si="8"/>
        <v>26192.299</v>
      </c>
      <c r="AM40" s="122">
        <v>34</v>
      </c>
      <c r="AN40" s="4" t="s">
        <v>70</v>
      </c>
      <c r="AO40" s="6">
        <v>14</v>
      </c>
      <c r="AP40" s="2">
        <f t="shared" si="33"/>
        <v>728116.7116576514</v>
      </c>
      <c r="AQ40" s="2">
        <f>2.843+0.02</f>
        <v>2.863</v>
      </c>
      <c r="AR40" s="24">
        <f t="shared" si="10"/>
        <v>377191.360678989</v>
      </c>
      <c r="AS40" s="24">
        <f t="shared" si="11"/>
        <v>101881.03819241708</v>
      </c>
      <c r="AT40" s="110">
        <v>77990.33</v>
      </c>
      <c r="AU40" s="60">
        <f t="shared" si="34"/>
        <v>6405.782445986708</v>
      </c>
      <c r="AV40" s="122">
        <v>34</v>
      </c>
      <c r="AW40" s="4" t="s">
        <v>70</v>
      </c>
      <c r="AX40" s="6">
        <v>14</v>
      </c>
      <c r="AY40" s="14">
        <f t="shared" si="12"/>
        <v>22824.7</v>
      </c>
      <c r="AZ40" s="7">
        <v>15967.27</v>
      </c>
      <c r="BA40" s="2">
        <v>6857.43</v>
      </c>
      <c r="BB40" s="2"/>
      <c r="BC40" s="25">
        <f t="shared" si="13"/>
        <v>0.5019849958588096</v>
      </c>
      <c r="BD40" s="25">
        <f t="shared" si="14"/>
        <v>80598.7807566399</v>
      </c>
      <c r="BE40" s="24">
        <f t="shared" si="15"/>
        <v>21303.398520404848</v>
      </c>
      <c r="BF40" s="111">
        <f t="shared" si="16"/>
        <v>39921.32106321388</v>
      </c>
      <c r="BG40" s="122">
        <v>34</v>
      </c>
      <c r="BH40" s="4" t="s">
        <v>70</v>
      </c>
      <c r="BI40" s="6">
        <v>14</v>
      </c>
      <c r="BJ40" s="24">
        <f t="shared" si="17"/>
        <v>468818.2056968286</v>
      </c>
      <c r="BK40" s="24">
        <v>3206.4</v>
      </c>
      <c r="BL40" s="14">
        <f t="shared" si="18"/>
        <v>4563.598533952001</v>
      </c>
      <c r="BM40" s="2">
        <f>28000/37*4</f>
        <v>3027.027027027027</v>
      </c>
      <c r="BN40" s="2">
        <f>141316.88/37*4</f>
        <v>15277.50054054054</v>
      </c>
      <c r="BO40" s="2">
        <f>35936.8/37*4</f>
        <v>3885.05945945946</v>
      </c>
      <c r="BP40" s="42">
        <f>3713050.58/37*4</f>
        <v>401410.87351351354</v>
      </c>
      <c r="BQ40" s="122">
        <v>34</v>
      </c>
      <c r="BR40" s="4" t="s">
        <v>70</v>
      </c>
      <c r="BS40" s="6">
        <v>14</v>
      </c>
      <c r="BT40" s="2">
        <f t="shared" si="31"/>
        <v>1024.50800276434</v>
      </c>
      <c r="BU40" s="2"/>
      <c r="BV40" s="2"/>
      <c r="BW40" s="24">
        <f t="shared" si="19"/>
        <v>16000.935572648204</v>
      </c>
      <c r="BX40" s="2"/>
      <c r="BY40" s="35">
        <f t="shared" si="20"/>
        <v>20422.303046923556</v>
      </c>
      <c r="BZ40" s="122">
        <v>34</v>
      </c>
      <c r="CA40" s="4" t="s">
        <v>70</v>
      </c>
      <c r="CB40" s="6">
        <v>14</v>
      </c>
      <c r="CC40" s="125">
        <f t="shared" si="1"/>
        <v>468612.26301532227</v>
      </c>
      <c r="CD40" s="112">
        <f t="shared" si="21"/>
        <v>1.7615109854681865</v>
      </c>
      <c r="CE40" s="108">
        <f t="shared" si="22"/>
        <v>328763.09613207617</v>
      </c>
      <c r="CF40" s="108">
        <f t="shared" si="23"/>
        <v>90287.59909426072</v>
      </c>
      <c r="CG40" s="108">
        <f t="shared" si="24"/>
        <v>49561.567788985405</v>
      </c>
      <c r="CH40" s="113">
        <f t="shared" si="25"/>
        <v>269554.80327277264</v>
      </c>
      <c r="CI40" s="114">
        <f t="shared" si="26"/>
        <v>28510.9027417456</v>
      </c>
      <c r="CJ40" s="114">
        <f t="shared" si="27"/>
        <v>57751.4753575717</v>
      </c>
      <c r="CK40" s="135">
        <f t="shared" si="28"/>
        <v>2046.7657847649398</v>
      </c>
      <c r="CL40" s="122">
        <v>34</v>
      </c>
      <c r="CM40" s="4" t="s">
        <v>70</v>
      </c>
      <c r="CN40" s="6">
        <v>14</v>
      </c>
      <c r="CO40" s="126">
        <f>228760.32+242059.59</f>
        <v>470819.91000000003</v>
      </c>
      <c r="CP40" s="127">
        <f>206022.14+224152.77</f>
        <v>430174.91000000003</v>
      </c>
      <c r="CQ40" s="128"/>
      <c r="CR40" s="122">
        <v>34</v>
      </c>
      <c r="CS40" s="4" t="s">
        <v>70</v>
      </c>
      <c r="CT40" s="6">
        <v>14</v>
      </c>
      <c r="CU40" s="129">
        <v>1.37</v>
      </c>
      <c r="CV40" s="130">
        <f>29489.21+28617.66</f>
        <v>58106.869999999995</v>
      </c>
      <c r="CW40" s="130">
        <f>30426.19+30422.16</f>
        <v>60848.35</v>
      </c>
      <c r="CX40" s="12"/>
      <c r="CY40" s="8"/>
      <c r="CZ40" s="64"/>
      <c r="DA40" s="61"/>
      <c r="DB40" s="122">
        <v>34</v>
      </c>
      <c r="DC40" s="4" t="s">
        <v>70</v>
      </c>
      <c r="DD40" s="6">
        <v>14</v>
      </c>
      <c r="DE40" s="131">
        <v>1.31</v>
      </c>
      <c r="DF40" s="131">
        <f>12223.52+16782.88</f>
        <v>29006.4</v>
      </c>
      <c r="DG40" s="133">
        <f>11612.72+14708.15</f>
        <v>26320.87</v>
      </c>
      <c r="DH40" s="16"/>
      <c r="DI40" s="16"/>
      <c r="DJ40" s="16"/>
      <c r="DK40" s="16"/>
      <c r="DL40" s="16"/>
    </row>
    <row r="41" spans="1:116" ht="11.25" customHeight="1">
      <c r="A41" s="122">
        <v>35</v>
      </c>
      <c r="B41" s="4" t="s">
        <v>71</v>
      </c>
      <c r="C41" s="6">
        <v>17</v>
      </c>
      <c r="D41" s="43">
        <v>359.7</v>
      </c>
      <c r="E41" s="36">
        <v>1955</v>
      </c>
      <c r="F41" s="37">
        <v>2</v>
      </c>
      <c r="G41" s="37">
        <v>2</v>
      </c>
      <c r="H41" s="37"/>
      <c r="I41" s="37">
        <v>8</v>
      </c>
      <c r="J41" s="37"/>
      <c r="K41" s="38">
        <v>56.4</v>
      </c>
      <c r="L41" s="39">
        <v>154</v>
      </c>
      <c r="M41" s="40">
        <v>0</v>
      </c>
      <c r="N41" s="40">
        <v>0</v>
      </c>
      <c r="O41" s="40">
        <v>189</v>
      </c>
      <c r="P41" s="37"/>
      <c r="Q41" s="123" t="s">
        <v>51</v>
      </c>
      <c r="R41" s="122">
        <v>35</v>
      </c>
      <c r="S41" s="4" t="s">
        <v>71</v>
      </c>
      <c r="T41" s="6">
        <v>17</v>
      </c>
      <c r="U41" s="41" t="s">
        <v>52</v>
      </c>
      <c r="V41" s="40">
        <v>399</v>
      </c>
      <c r="W41" s="3">
        <v>13.85</v>
      </c>
      <c r="X41" s="3">
        <v>58293.06</v>
      </c>
      <c r="Y41" s="3">
        <v>83865.38</v>
      </c>
      <c r="Z41" s="3">
        <f t="shared" si="2"/>
        <v>143.8685497038584</v>
      </c>
      <c r="AA41" s="3">
        <f t="shared" si="29"/>
        <v>-23480.496019583312</v>
      </c>
      <c r="AB41" s="3">
        <f t="shared" si="3"/>
        <v>107345.87601958332</v>
      </c>
      <c r="AC41" s="107">
        <f t="shared" si="4"/>
        <v>90971.08137252824</v>
      </c>
      <c r="AD41" s="122">
        <v>35</v>
      </c>
      <c r="AE41" s="4" t="s">
        <v>71</v>
      </c>
      <c r="AF41" s="6">
        <v>17</v>
      </c>
      <c r="AG41" s="124">
        <f t="shared" si="5"/>
        <v>12384.06734718057</v>
      </c>
      <c r="AH41" s="124">
        <f>0.13*82.25/79.4</f>
        <v>0.1346662468513854</v>
      </c>
      <c r="AI41" s="108">
        <f t="shared" si="6"/>
        <v>9287.23924559194</v>
      </c>
      <c r="AJ41" s="108">
        <f t="shared" si="30"/>
        <v>2239.1457665760354</v>
      </c>
      <c r="AK41" s="124">
        <f t="shared" si="7"/>
        <v>11526.385012167975</v>
      </c>
      <c r="AL41" s="109">
        <f t="shared" si="8"/>
        <v>857.6823350125944</v>
      </c>
      <c r="AM41" s="122">
        <v>35</v>
      </c>
      <c r="AN41" s="4" t="s">
        <v>71</v>
      </c>
      <c r="AO41" s="6">
        <v>17</v>
      </c>
      <c r="AP41" s="2">
        <f t="shared" si="33"/>
        <v>35206.37674726078</v>
      </c>
      <c r="AQ41" s="2">
        <f>0.146+0.018</f>
        <v>0.16399999999999998</v>
      </c>
      <c r="AR41" s="24">
        <f t="shared" si="10"/>
        <v>21606.49079684044</v>
      </c>
      <c r="AS41" s="24">
        <f t="shared" si="11"/>
        <v>5836.007776303318</v>
      </c>
      <c r="AT41" s="110">
        <v>1981.29</v>
      </c>
      <c r="AU41" s="60">
        <f t="shared" si="34"/>
        <v>348.8128290182243</v>
      </c>
      <c r="AV41" s="122">
        <v>35</v>
      </c>
      <c r="AW41" s="4" t="s">
        <v>71</v>
      </c>
      <c r="AX41" s="6">
        <v>17</v>
      </c>
      <c r="AY41" s="14">
        <f t="shared" si="12"/>
        <v>0</v>
      </c>
      <c r="AZ41" s="7"/>
      <c r="BA41" s="2"/>
      <c r="BB41" s="2"/>
      <c r="BC41" s="25">
        <f t="shared" si="13"/>
        <v>0.019232875282044013</v>
      </c>
      <c r="BD41" s="25">
        <f t="shared" si="14"/>
        <v>3088.033130403094</v>
      </c>
      <c r="BE41" s="24">
        <f t="shared" si="15"/>
        <v>816.2108632861779</v>
      </c>
      <c r="BF41" s="111">
        <f t="shared" si="16"/>
        <v>1529.5313514095237</v>
      </c>
      <c r="BG41" s="122">
        <v>35</v>
      </c>
      <c r="BH41" s="4" t="s">
        <v>71</v>
      </c>
      <c r="BI41" s="6">
        <v>17</v>
      </c>
      <c r="BJ41" s="24">
        <f t="shared" si="17"/>
        <v>11715.320575496211</v>
      </c>
      <c r="BK41" s="24">
        <f>4392+5709.6</f>
        <v>10101.6</v>
      </c>
      <c r="BL41" s="14">
        <f t="shared" si="18"/>
        <v>174.8480973831828</v>
      </c>
      <c r="BM41" s="2"/>
      <c r="BN41" s="2"/>
      <c r="BO41" s="2"/>
      <c r="BP41" s="42"/>
      <c r="BQ41" s="122">
        <v>35</v>
      </c>
      <c r="BR41" s="4" t="s">
        <v>71</v>
      </c>
      <c r="BS41" s="6">
        <v>17</v>
      </c>
      <c r="BT41" s="2">
        <f t="shared" si="31"/>
        <v>43.36541810642709</v>
      </c>
      <c r="BU41" s="2"/>
      <c r="BV41" s="2"/>
      <c r="BW41" s="24">
        <f t="shared" si="19"/>
        <v>613.0541765262677</v>
      </c>
      <c r="BX41" s="2"/>
      <c r="BY41" s="35">
        <f t="shared" si="20"/>
        <v>782.4528834803323</v>
      </c>
      <c r="BZ41" s="122">
        <v>35</v>
      </c>
      <c r="CA41" s="4" t="s">
        <v>71</v>
      </c>
      <c r="CB41" s="6">
        <v>17</v>
      </c>
      <c r="CC41" s="125">
        <f t="shared" si="1"/>
        <v>17954.24421957238</v>
      </c>
      <c r="CD41" s="112">
        <f t="shared" si="21"/>
        <v>0.0674899078078999</v>
      </c>
      <c r="CE41" s="108">
        <f t="shared" si="22"/>
        <v>12596.112787054928</v>
      </c>
      <c r="CF41" s="108">
        <f t="shared" si="23"/>
        <v>3459.247083519442</v>
      </c>
      <c r="CG41" s="108">
        <f t="shared" si="24"/>
        <v>1898.8843489980134</v>
      </c>
      <c r="CH41" s="113">
        <f t="shared" si="25"/>
        <v>10327.627231470695</v>
      </c>
      <c r="CI41" s="114">
        <f t="shared" si="26"/>
        <v>1092.3566264612223</v>
      </c>
      <c r="CJ41" s="114">
        <f t="shared" si="27"/>
        <v>2212.6695659617335</v>
      </c>
      <c r="CK41" s="115">
        <f t="shared" si="28"/>
        <v>78.4190591246497</v>
      </c>
      <c r="CL41" s="122">
        <v>35</v>
      </c>
      <c r="CM41" s="4" t="s">
        <v>71</v>
      </c>
      <c r="CN41" s="6">
        <v>17</v>
      </c>
      <c r="CO41" s="126">
        <v>18042.54</v>
      </c>
      <c r="CP41" s="127">
        <v>22158.52</v>
      </c>
      <c r="CQ41" s="128"/>
      <c r="CR41" s="122">
        <v>35</v>
      </c>
      <c r="CS41" s="4" t="s">
        <v>71</v>
      </c>
      <c r="CT41" s="6">
        <v>17</v>
      </c>
      <c r="CU41" s="129">
        <v>0</v>
      </c>
      <c r="CV41" s="130">
        <v>0</v>
      </c>
      <c r="CW41" s="130">
        <v>432.05</v>
      </c>
      <c r="CX41" s="12"/>
      <c r="CY41" s="8"/>
      <c r="CZ41" s="64"/>
      <c r="DA41" s="61"/>
      <c r="DB41" s="122">
        <v>35</v>
      </c>
      <c r="DC41" s="4" t="s">
        <v>71</v>
      </c>
      <c r="DD41" s="6">
        <v>17</v>
      </c>
      <c r="DE41" s="131">
        <v>0</v>
      </c>
      <c r="DF41" s="131">
        <v>0</v>
      </c>
      <c r="DG41" s="133">
        <v>0</v>
      </c>
      <c r="DH41" s="16"/>
      <c r="DI41" s="16"/>
      <c r="DJ41" s="16"/>
      <c r="DK41" s="16"/>
      <c r="DL41" s="16"/>
    </row>
    <row r="42" spans="1:116" ht="11.25" customHeight="1">
      <c r="A42" s="122">
        <v>36</v>
      </c>
      <c r="B42" s="13" t="s">
        <v>72</v>
      </c>
      <c r="C42" s="6">
        <v>156</v>
      </c>
      <c r="D42" s="2">
        <v>117.2</v>
      </c>
      <c r="E42" s="36">
        <v>1962</v>
      </c>
      <c r="F42" s="37">
        <v>1</v>
      </c>
      <c r="G42" s="37">
        <v>1</v>
      </c>
      <c r="H42" s="37"/>
      <c r="I42" s="37">
        <v>2</v>
      </c>
      <c r="J42" s="37"/>
      <c r="K42" s="38">
        <v>0</v>
      </c>
      <c r="L42" s="39">
        <v>29</v>
      </c>
      <c r="M42" s="40">
        <v>0</v>
      </c>
      <c r="N42" s="40">
        <v>876</v>
      </c>
      <c r="O42" s="40">
        <v>567</v>
      </c>
      <c r="P42" s="37"/>
      <c r="Q42" s="123" t="s">
        <v>73</v>
      </c>
      <c r="R42" s="122">
        <v>36</v>
      </c>
      <c r="S42" s="13" t="s">
        <v>72</v>
      </c>
      <c r="T42" s="6">
        <v>156</v>
      </c>
      <c r="U42" s="41" t="s">
        <v>52</v>
      </c>
      <c r="V42" s="40">
        <v>68</v>
      </c>
      <c r="W42" s="3">
        <v>12.02</v>
      </c>
      <c r="X42" s="3">
        <v>16429.34</v>
      </c>
      <c r="Y42" s="3">
        <v>29558.25</v>
      </c>
      <c r="Z42" s="3">
        <f t="shared" si="2"/>
        <v>179.91136588566553</v>
      </c>
      <c r="AA42" s="3">
        <f t="shared" si="29"/>
        <v>-46613.37397934249</v>
      </c>
      <c r="AB42" s="3">
        <f t="shared" si="3"/>
        <v>76171.62397934249</v>
      </c>
      <c r="AC42" s="107">
        <f t="shared" si="4"/>
        <v>64552.2237113072</v>
      </c>
      <c r="AD42" s="122">
        <v>36</v>
      </c>
      <c r="AE42" s="13" t="s">
        <v>72</v>
      </c>
      <c r="AF42" s="6">
        <v>156</v>
      </c>
      <c r="AG42" s="124">
        <f t="shared" si="5"/>
        <v>42867.92543254812</v>
      </c>
      <c r="AH42" s="124">
        <f>0.45*82.25/79.4</f>
        <v>0.46615239294710326</v>
      </c>
      <c r="AI42" s="108">
        <f t="shared" si="6"/>
        <v>32148.135850125942</v>
      </c>
      <c r="AJ42" s="108">
        <f t="shared" si="30"/>
        <v>7750.889191993967</v>
      </c>
      <c r="AK42" s="124">
        <f t="shared" si="7"/>
        <v>39899.02504211991</v>
      </c>
      <c r="AL42" s="109">
        <f t="shared" si="8"/>
        <v>2968.9003904282113</v>
      </c>
      <c r="AM42" s="122">
        <v>36</v>
      </c>
      <c r="AN42" s="13" t="s">
        <v>72</v>
      </c>
      <c r="AO42" s="6">
        <v>156</v>
      </c>
      <c r="AP42" s="2">
        <f t="shared" si="33"/>
        <v>10104.375072718121</v>
      </c>
      <c r="AQ42" s="2">
        <f>0.028+0.018</f>
        <v>0.046</v>
      </c>
      <c r="AR42" s="24">
        <f t="shared" si="10"/>
        <v>6060.357174723539</v>
      </c>
      <c r="AS42" s="24">
        <f t="shared" si="11"/>
        <v>1636.9290104265406</v>
      </c>
      <c r="AT42" s="110">
        <v>537.12</v>
      </c>
      <c r="AU42" s="60">
        <f t="shared" si="34"/>
        <v>99.49774371043978</v>
      </c>
      <c r="AV42" s="122">
        <v>36</v>
      </c>
      <c r="AW42" s="13" t="s">
        <v>72</v>
      </c>
      <c r="AX42" s="6">
        <v>156</v>
      </c>
      <c r="AY42" s="14">
        <f t="shared" si="12"/>
        <v>0</v>
      </c>
      <c r="AZ42" s="7"/>
      <c r="BA42" s="2"/>
      <c r="BB42" s="2"/>
      <c r="BC42" s="25">
        <f t="shared" si="13"/>
        <v>0.006266591557007391</v>
      </c>
      <c r="BD42" s="25">
        <f t="shared" si="14"/>
        <v>1006.1648120190233</v>
      </c>
      <c r="BE42" s="24">
        <f t="shared" si="15"/>
        <v>265.94360071487364</v>
      </c>
      <c r="BF42" s="111">
        <f t="shared" si="16"/>
        <v>498.3627311237036</v>
      </c>
      <c r="BG42" s="122">
        <v>36</v>
      </c>
      <c r="BH42" s="13" t="s">
        <v>72</v>
      </c>
      <c r="BI42" s="6">
        <v>156</v>
      </c>
      <c r="BJ42" s="24">
        <f t="shared" si="17"/>
        <v>1262.5055870706228</v>
      </c>
      <c r="BK42" s="24"/>
      <c r="BL42" s="14">
        <f t="shared" si="18"/>
        <v>56.970244685318384</v>
      </c>
      <c r="BM42" s="2"/>
      <c r="BN42" s="2"/>
      <c r="BO42" s="2"/>
      <c r="BP42" s="42"/>
      <c r="BQ42" s="122">
        <v>36</v>
      </c>
      <c r="BR42" s="13" t="s">
        <v>72</v>
      </c>
      <c r="BS42" s="6">
        <v>156</v>
      </c>
      <c r="BT42" s="2">
        <f t="shared" si="31"/>
        <v>10.841354526606773</v>
      </c>
      <c r="BU42" s="2">
        <v>740</v>
      </c>
      <c r="BV42" s="2"/>
      <c r="BW42" s="24">
        <f t="shared" si="19"/>
        <v>199.74965106721874</v>
      </c>
      <c r="BX42" s="2"/>
      <c r="BY42" s="35">
        <f t="shared" si="20"/>
        <v>254.9443367914789</v>
      </c>
      <c r="BZ42" s="122">
        <v>36</v>
      </c>
      <c r="CA42" s="13" t="s">
        <v>72</v>
      </c>
      <c r="CB42" s="6">
        <v>156</v>
      </c>
      <c r="CC42" s="125">
        <f t="shared" si="1"/>
        <v>5849.9789339279505</v>
      </c>
      <c r="CD42" s="112">
        <f t="shared" si="21"/>
        <v>0.021990039463680482</v>
      </c>
      <c r="CE42" s="108">
        <f t="shared" si="22"/>
        <v>4104.154625084342</v>
      </c>
      <c r="CF42" s="108">
        <f t="shared" si="23"/>
        <v>1127.1163697205413</v>
      </c>
      <c r="CG42" s="108">
        <f t="shared" si="24"/>
        <v>618.707939123067</v>
      </c>
      <c r="CH42" s="113">
        <f t="shared" si="25"/>
        <v>3365.0206047494175</v>
      </c>
      <c r="CI42" s="114">
        <f t="shared" si="26"/>
        <v>355.91936786559705</v>
      </c>
      <c r="CJ42" s="114">
        <f t="shared" si="27"/>
        <v>720.9476595238119</v>
      </c>
      <c r="CK42" s="115">
        <f t="shared" si="28"/>
        <v>25.55105290355559</v>
      </c>
      <c r="CL42" s="122">
        <v>36</v>
      </c>
      <c r="CM42" s="13" t="s">
        <v>72</v>
      </c>
      <c r="CN42" s="6">
        <v>156</v>
      </c>
      <c r="CO42" s="126">
        <v>5849.88</v>
      </c>
      <c r="CP42" s="127">
        <v>10737.49</v>
      </c>
      <c r="CQ42" s="128"/>
      <c r="CR42" s="122">
        <v>36</v>
      </c>
      <c r="CS42" s="13" t="s">
        <v>72</v>
      </c>
      <c r="CT42" s="6">
        <v>156</v>
      </c>
      <c r="CU42" s="129">
        <v>0</v>
      </c>
      <c r="CV42" s="130">
        <v>0</v>
      </c>
      <c r="CW42" s="130">
        <v>0</v>
      </c>
      <c r="CX42" s="12"/>
      <c r="CY42" s="8"/>
      <c r="CZ42" s="64"/>
      <c r="DA42" s="61"/>
      <c r="DB42" s="122">
        <v>36</v>
      </c>
      <c r="DC42" s="13" t="s">
        <v>72</v>
      </c>
      <c r="DD42" s="6">
        <v>156</v>
      </c>
      <c r="DE42" s="131">
        <v>0</v>
      </c>
      <c r="DF42" s="131">
        <v>0</v>
      </c>
      <c r="DG42" s="133">
        <v>0</v>
      </c>
      <c r="DH42" s="16"/>
      <c r="DI42" s="16"/>
      <c r="DJ42" s="16"/>
      <c r="DK42" s="16"/>
      <c r="DL42" s="16"/>
    </row>
    <row r="43" spans="1:116" ht="11.25" customHeight="1">
      <c r="A43" s="122">
        <v>37</v>
      </c>
      <c r="B43" s="4" t="s">
        <v>74</v>
      </c>
      <c r="C43" s="6">
        <v>1</v>
      </c>
      <c r="D43" s="43">
        <v>4533</v>
      </c>
      <c r="E43" s="36">
        <v>1994</v>
      </c>
      <c r="F43" s="37">
        <v>1</v>
      </c>
      <c r="G43" s="37">
        <v>14</v>
      </c>
      <c r="H43" s="37">
        <v>2</v>
      </c>
      <c r="I43" s="37">
        <v>93</v>
      </c>
      <c r="J43" s="37">
        <v>93</v>
      </c>
      <c r="K43" s="38">
        <v>708.2</v>
      </c>
      <c r="L43" s="39">
        <v>827</v>
      </c>
      <c r="M43" s="40">
        <v>0</v>
      </c>
      <c r="N43" s="40">
        <v>801</v>
      </c>
      <c r="O43" s="40">
        <v>200</v>
      </c>
      <c r="P43" s="37"/>
      <c r="Q43" s="123" t="s">
        <v>48</v>
      </c>
      <c r="R43" s="122">
        <v>37</v>
      </c>
      <c r="S43" s="4" t="s">
        <v>74</v>
      </c>
      <c r="T43" s="6">
        <v>1</v>
      </c>
      <c r="U43" s="41" t="s">
        <v>49</v>
      </c>
      <c r="V43" s="40">
        <v>526</v>
      </c>
      <c r="W43" s="3">
        <v>26.34</v>
      </c>
      <c r="X43" s="3">
        <v>1397435.4</v>
      </c>
      <c r="Y43" s="3">
        <v>1353361.59</v>
      </c>
      <c r="Z43" s="3">
        <f t="shared" si="2"/>
        <v>96.84609320760016</v>
      </c>
      <c r="AA43" s="3">
        <f t="shared" si="29"/>
        <v>144661.35951610026</v>
      </c>
      <c r="AB43" s="3">
        <f t="shared" si="3"/>
        <v>1208700.2304838998</v>
      </c>
      <c r="AC43" s="107">
        <f t="shared" si="4"/>
        <v>1024322.2292236439</v>
      </c>
      <c r="AD43" s="122">
        <v>37</v>
      </c>
      <c r="AE43" s="4" t="s">
        <v>74</v>
      </c>
      <c r="AF43" s="6">
        <v>1</v>
      </c>
      <c r="AG43" s="124">
        <f t="shared" si="5"/>
        <v>112409.22668979285</v>
      </c>
      <c r="AH43" s="124">
        <f>1.18*82.25/79.4</f>
        <v>1.2223551637279595</v>
      </c>
      <c r="AI43" s="108">
        <f t="shared" si="6"/>
        <v>84299.55622921913</v>
      </c>
      <c r="AJ43" s="108">
        <f t="shared" si="30"/>
        <v>20324.553881228625</v>
      </c>
      <c r="AK43" s="124">
        <f t="shared" si="7"/>
        <v>104624.11011044776</v>
      </c>
      <c r="AL43" s="109">
        <f t="shared" si="8"/>
        <v>7785.116579345086</v>
      </c>
      <c r="AM43" s="122">
        <v>37</v>
      </c>
      <c r="AN43" s="4" t="s">
        <v>74</v>
      </c>
      <c r="AO43" s="6">
        <v>1</v>
      </c>
      <c r="AP43" s="2">
        <f t="shared" si="33"/>
        <v>278789.81316107523</v>
      </c>
      <c r="AQ43" s="2">
        <f>1.016+0.018</f>
        <v>1.034</v>
      </c>
      <c r="AR43" s="24">
        <f t="shared" si="10"/>
        <v>136226.28953617695</v>
      </c>
      <c r="AS43" s="24">
        <f t="shared" si="11"/>
        <v>36795.31732132702</v>
      </c>
      <c r="AT43" s="110">
        <v>28412.56</v>
      </c>
      <c r="AU43" s="60">
        <f t="shared" si="34"/>
        <v>2429.783956246143</v>
      </c>
      <c r="AV43" s="122">
        <v>37</v>
      </c>
      <c r="AW43" s="4" t="s">
        <v>74</v>
      </c>
      <c r="AX43" s="6">
        <v>1</v>
      </c>
      <c r="AY43" s="14">
        <f t="shared" si="12"/>
        <v>6448.51</v>
      </c>
      <c r="AZ43" s="7"/>
      <c r="BA43" s="2">
        <v>6448.51</v>
      </c>
      <c r="BB43" s="2"/>
      <c r="BC43" s="25">
        <f t="shared" si="13"/>
        <v>0.24237593453851966</v>
      </c>
      <c r="BD43" s="25">
        <f t="shared" si="14"/>
        <v>38915.913761793796</v>
      </c>
      <c r="BE43" s="24">
        <f t="shared" si="15"/>
        <v>10286.026809219473</v>
      </c>
      <c r="BF43" s="111">
        <f t="shared" si="16"/>
        <v>19275.41177631185</v>
      </c>
      <c r="BG43" s="122">
        <v>37</v>
      </c>
      <c r="BH43" s="4" t="s">
        <v>74</v>
      </c>
      <c r="BI43" s="6">
        <v>1</v>
      </c>
      <c r="BJ43" s="24">
        <f t="shared" si="17"/>
        <v>234071.53351277133</v>
      </c>
      <c r="BK43" s="24">
        <v>1977.3</v>
      </c>
      <c r="BL43" s="14">
        <f t="shared" si="18"/>
        <v>2203.465180533688</v>
      </c>
      <c r="BM43" s="2">
        <f>28000/37*2</f>
        <v>1513.5135135135135</v>
      </c>
      <c r="BN43" s="2">
        <f>141316.88/37*2</f>
        <v>7638.75027027027</v>
      </c>
      <c r="BO43" s="2">
        <f>35936.8/37*2</f>
        <v>1942.52972972973</v>
      </c>
      <c r="BP43" s="42">
        <f>3713050.58/37*2</f>
        <v>200705.43675675677</v>
      </c>
      <c r="BQ43" s="122">
        <v>37</v>
      </c>
      <c r="BR43" s="4" t="s">
        <v>74</v>
      </c>
      <c r="BS43" s="6">
        <v>1</v>
      </c>
      <c r="BT43" s="2">
        <f t="shared" si="31"/>
        <v>504.122985487215</v>
      </c>
      <c r="BU43" s="2"/>
      <c r="BV43" s="2"/>
      <c r="BW43" s="24">
        <f t="shared" si="19"/>
        <v>7725.812016106677</v>
      </c>
      <c r="BX43" s="2"/>
      <c r="BY43" s="35">
        <f t="shared" si="20"/>
        <v>9860.603060373496</v>
      </c>
      <c r="BZ43" s="122">
        <v>37</v>
      </c>
      <c r="CA43" s="4" t="s">
        <v>74</v>
      </c>
      <c r="CB43" s="6">
        <v>1</v>
      </c>
      <c r="CC43" s="125">
        <f t="shared" si="1"/>
        <v>226262.41047351024</v>
      </c>
      <c r="CD43" s="112">
        <f t="shared" si="21"/>
        <v>0.8505191884715326</v>
      </c>
      <c r="CE43" s="108">
        <f t="shared" si="22"/>
        <v>158738.33545654712</v>
      </c>
      <c r="CF43" s="108">
        <f t="shared" si="23"/>
        <v>43594.01453876462</v>
      </c>
      <c r="CG43" s="108">
        <f t="shared" si="24"/>
        <v>23930.060478198488</v>
      </c>
      <c r="CH43" s="113">
        <f t="shared" si="25"/>
        <v>130150.49830485588</v>
      </c>
      <c r="CI43" s="114">
        <f t="shared" si="26"/>
        <v>13766.062240057607</v>
      </c>
      <c r="CJ43" s="114">
        <f t="shared" si="27"/>
        <v>27884.43464694061</v>
      </c>
      <c r="CK43" s="115">
        <f t="shared" si="28"/>
        <v>988.250194640081</v>
      </c>
      <c r="CL43" s="122">
        <v>37</v>
      </c>
      <c r="CM43" s="4" t="s">
        <v>74</v>
      </c>
      <c r="CN43" s="6">
        <v>1</v>
      </c>
      <c r="CO43" s="126">
        <v>227375.64</v>
      </c>
      <c r="CP43" s="127">
        <v>214950.12</v>
      </c>
      <c r="CQ43" s="128"/>
      <c r="CR43" s="122">
        <v>37</v>
      </c>
      <c r="CS43" s="4" t="s">
        <v>74</v>
      </c>
      <c r="CT43" s="6">
        <v>1</v>
      </c>
      <c r="CU43" s="129">
        <v>1.37</v>
      </c>
      <c r="CV43" s="130">
        <v>29459.88</v>
      </c>
      <c r="CW43" s="130">
        <v>30645.82</v>
      </c>
      <c r="CX43" s="12" t="s">
        <v>98</v>
      </c>
      <c r="CY43" s="8">
        <v>360802</v>
      </c>
      <c r="CZ43" s="64"/>
      <c r="DA43" s="61"/>
      <c r="DB43" s="122">
        <v>37</v>
      </c>
      <c r="DC43" s="4" t="s">
        <v>74</v>
      </c>
      <c r="DD43" s="6">
        <v>1</v>
      </c>
      <c r="DE43" s="131">
        <v>1.31</v>
      </c>
      <c r="DF43" s="131">
        <v>7516.43</v>
      </c>
      <c r="DG43" s="133">
        <v>6659.38</v>
      </c>
      <c r="DH43" s="16"/>
      <c r="DI43" s="16"/>
      <c r="DJ43" s="16"/>
      <c r="DK43" s="16"/>
      <c r="DL43" s="16"/>
    </row>
    <row r="44" spans="1:116" ht="11.25" customHeight="1">
      <c r="A44" s="122">
        <v>38</v>
      </c>
      <c r="B44" s="4" t="s">
        <v>74</v>
      </c>
      <c r="C44" s="11" t="s">
        <v>75</v>
      </c>
      <c r="D44" s="43">
        <v>4685.9</v>
      </c>
      <c r="E44" s="36">
        <v>1999</v>
      </c>
      <c r="F44" s="37">
        <v>1</v>
      </c>
      <c r="G44" s="37">
        <v>14</v>
      </c>
      <c r="H44" s="37">
        <v>2</v>
      </c>
      <c r="I44" s="37">
        <v>96</v>
      </c>
      <c r="J44" s="37">
        <v>96</v>
      </c>
      <c r="K44" s="38">
        <v>617.6</v>
      </c>
      <c r="L44" s="39">
        <v>2764</v>
      </c>
      <c r="M44" s="40">
        <v>714</v>
      </c>
      <c r="N44" s="40">
        <v>5281</v>
      </c>
      <c r="O44" s="40">
        <v>1847</v>
      </c>
      <c r="P44" s="37">
        <v>1</v>
      </c>
      <c r="Q44" s="123" t="s">
        <v>51</v>
      </c>
      <c r="R44" s="122">
        <v>38</v>
      </c>
      <c r="S44" s="4" t="s">
        <v>74</v>
      </c>
      <c r="T44" s="11" t="s">
        <v>75</v>
      </c>
      <c r="U44" s="41" t="s">
        <v>49</v>
      </c>
      <c r="V44" s="40">
        <v>1863.4</v>
      </c>
      <c r="W44" s="3">
        <v>26.34</v>
      </c>
      <c r="X44" s="3">
        <v>1444731.32</v>
      </c>
      <c r="Y44" s="3">
        <v>1483556.35</v>
      </c>
      <c r="Z44" s="3">
        <f t="shared" si="2"/>
        <v>102.6873529674708</v>
      </c>
      <c r="AA44" s="3">
        <f t="shared" si="29"/>
        <v>103753.20329182758</v>
      </c>
      <c r="AB44" s="3">
        <f t="shared" si="3"/>
        <v>1379803.1467081725</v>
      </c>
      <c r="AC44" s="107">
        <f t="shared" si="4"/>
        <v>1169324.7006001463</v>
      </c>
      <c r="AD44" s="122">
        <v>38</v>
      </c>
      <c r="AE44" s="4" t="s">
        <v>74</v>
      </c>
      <c r="AF44" s="11" t="s">
        <v>75</v>
      </c>
      <c r="AG44" s="124">
        <f t="shared" si="5"/>
        <v>194017.05510582885</v>
      </c>
      <c r="AH44" s="124">
        <f>(6.11/3)*82.25/79.4</f>
        <v>2.109771200671704</v>
      </c>
      <c r="AI44" s="108">
        <f t="shared" si="6"/>
        <v>145500.08151427368</v>
      </c>
      <c r="AJ44" s="108">
        <f t="shared" si="30"/>
        <v>35079.950343024546</v>
      </c>
      <c r="AK44" s="124">
        <f t="shared" si="7"/>
        <v>180580.03185729822</v>
      </c>
      <c r="AL44" s="109">
        <f t="shared" si="8"/>
        <v>13437.023248530642</v>
      </c>
      <c r="AM44" s="122">
        <v>38</v>
      </c>
      <c r="AN44" s="4" t="s">
        <v>74</v>
      </c>
      <c r="AO44" s="11" t="s">
        <v>75</v>
      </c>
      <c r="AP44" s="2">
        <f t="shared" si="33"/>
        <v>330017.7925957542</v>
      </c>
      <c r="AQ44" s="2">
        <f>(4.149+0.02)/3</f>
        <v>1.3896666666666666</v>
      </c>
      <c r="AR44" s="24">
        <f t="shared" si="10"/>
        <v>183084.26856103214</v>
      </c>
      <c r="AS44" s="24">
        <f t="shared" si="11"/>
        <v>49451.86264107426</v>
      </c>
      <c r="AT44" s="110">
        <f>72190.29/(D44+D45+D46)*D44</f>
        <v>23572.124001686327</v>
      </c>
      <c r="AU44" s="60">
        <f t="shared" si="34"/>
        <v>3122.4150967197793</v>
      </c>
      <c r="AV44" s="122">
        <v>38</v>
      </c>
      <c r="AW44" s="4" t="s">
        <v>74</v>
      </c>
      <c r="AX44" s="11" t="s">
        <v>75</v>
      </c>
      <c r="AY44" s="14">
        <f t="shared" si="12"/>
        <v>0</v>
      </c>
      <c r="AZ44" s="7"/>
      <c r="BA44" s="2"/>
      <c r="BB44" s="2"/>
      <c r="BC44" s="25">
        <f t="shared" si="13"/>
        <v>0.2505513769366974</v>
      </c>
      <c r="BD44" s="25">
        <f t="shared" si="14"/>
        <v>40228.56393037493</v>
      </c>
      <c r="BE44" s="24">
        <f t="shared" si="15"/>
        <v>10632.978827558247</v>
      </c>
      <c r="BF44" s="111">
        <f t="shared" si="16"/>
        <v>19925.579537308557</v>
      </c>
      <c r="BG44" s="122">
        <v>38</v>
      </c>
      <c r="BH44" s="4" t="s">
        <v>74</v>
      </c>
      <c r="BI44" s="11" t="s">
        <v>75</v>
      </c>
      <c r="BJ44" s="24">
        <f t="shared" si="17"/>
        <v>232778.01654418567</v>
      </c>
      <c r="BK44" s="24"/>
      <c r="BL44" s="14">
        <f t="shared" si="18"/>
        <v>2277.788989513084</v>
      </c>
      <c r="BM44" s="2">
        <f>28000/37*2</f>
        <v>1513.5135135135135</v>
      </c>
      <c r="BN44" s="2">
        <f>141316.88/37*2</f>
        <v>7638.75027027027</v>
      </c>
      <c r="BO44" s="2">
        <f>35936.8/37*2</f>
        <v>1942.52972972973</v>
      </c>
      <c r="BP44" s="42">
        <f>3713050.58/37*2</f>
        <v>200705.43675675677</v>
      </c>
      <c r="BQ44" s="122">
        <v>38</v>
      </c>
      <c r="BR44" s="4" t="s">
        <v>74</v>
      </c>
      <c r="BS44" s="11" t="s">
        <v>75</v>
      </c>
      <c r="BT44" s="2">
        <f t="shared" si="31"/>
        <v>520.3850172771251</v>
      </c>
      <c r="BU44" s="2"/>
      <c r="BV44" s="2"/>
      <c r="BW44" s="24">
        <f t="shared" si="19"/>
        <v>7986.406910715702</v>
      </c>
      <c r="BX44" s="2"/>
      <c r="BY44" s="35">
        <f t="shared" si="20"/>
        <v>10193.205356409477</v>
      </c>
      <c r="BZ44" s="122">
        <v>38</v>
      </c>
      <c r="CA44" s="4" t="s">
        <v>74</v>
      </c>
      <c r="CB44" s="11" t="s">
        <v>75</v>
      </c>
      <c r="CC44" s="125">
        <f t="shared" si="1"/>
        <v>233894.33691546912</v>
      </c>
      <c r="CD44" s="112">
        <f t="shared" si="21"/>
        <v>0.8792075590687745</v>
      </c>
      <c r="CE44" s="108">
        <f t="shared" si="22"/>
        <v>164092.64639661022</v>
      </c>
      <c r="CF44" s="108">
        <f t="shared" si="23"/>
        <v>45064.45901769184</v>
      </c>
      <c r="CG44" s="108">
        <f t="shared" si="24"/>
        <v>24737.23150116706</v>
      </c>
      <c r="CH44" s="113">
        <f t="shared" si="25"/>
        <v>134540.52945217828</v>
      </c>
      <c r="CI44" s="114">
        <f t="shared" si="26"/>
        <v>14230.397319807176</v>
      </c>
      <c r="CJ44" s="114">
        <f t="shared" si="27"/>
        <v>28824.98837681425</v>
      </c>
      <c r="CK44" s="135">
        <f t="shared" si="28"/>
        <v>1021.5842901089687</v>
      </c>
      <c r="CL44" s="122">
        <v>38</v>
      </c>
      <c r="CM44" s="4" t="s">
        <v>74</v>
      </c>
      <c r="CN44" s="11" t="s">
        <v>75</v>
      </c>
      <c r="CO44" s="126">
        <v>235069.74</v>
      </c>
      <c r="CP44" s="127">
        <v>212952.5</v>
      </c>
      <c r="CQ44" s="128"/>
      <c r="CR44" s="122">
        <v>38</v>
      </c>
      <c r="CS44" s="4" t="s">
        <v>74</v>
      </c>
      <c r="CT44" s="11" t="s">
        <v>75</v>
      </c>
      <c r="CU44" s="129">
        <v>1.37</v>
      </c>
      <c r="CV44" s="130">
        <v>34527.49</v>
      </c>
      <c r="CW44" s="130">
        <v>37403.98</v>
      </c>
      <c r="CX44" s="12"/>
      <c r="CY44" s="8"/>
      <c r="CZ44" s="64"/>
      <c r="DA44" s="61"/>
      <c r="DB44" s="122">
        <v>38</v>
      </c>
      <c r="DC44" s="4" t="s">
        <v>74</v>
      </c>
      <c r="DD44" s="11" t="s">
        <v>75</v>
      </c>
      <c r="DE44" s="131">
        <v>1.45</v>
      </c>
      <c r="DF44" s="131">
        <v>4117.09</v>
      </c>
      <c r="DG44" s="133">
        <v>3772.91</v>
      </c>
      <c r="DH44" s="16"/>
      <c r="DI44" s="16"/>
      <c r="DJ44" s="16"/>
      <c r="DK44" s="16"/>
      <c r="DL44" s="16"/>
    </row>
    <row r="45" spans="1:116" ht="11.25" customHeight="1">
      <c r="A45" s="122"/>
      <c r="B45" s="4" t="s">
        <v>74</v>
      </c>
      <c r="C45" s="11" t="s">
        <v>76</v>
      </c>
      <c r="D45" s="2">
        <v>4841.4</v>
      </c>
      <c r="E45" s="36">
        <v>1989</v>
      </c>
      <c r="F45" s="37">
        <v>1</v>
      </c>
      <c r="G45" s="37">
        <v>14</v>
      </c>
      <c r="H45" s="37">
        <v>2</v>
      </c>
      <c r="I45" s="37">
        <v>96</v>
      </c>
      <c r="J45" s="37">
        <v>96</v>
      </c>
      <c r="K45" s="38">
        <v>617.6</v>
      </c>
      <c r="L45" s="39"/>
      <c r="M45" s="40"/>
      <c r="N45" s="40"/>
      <c r="O45" s="40"/>
      <c r="P45" s="37">
        <v>1</v>
      </c>
      <c r="Q45" s="123" t="s">
        <v>51</v>
      </c>
      <c r="R45" s="122"/>
      <c r="S45" s="4" t="s">
        <v>74</v>
      </c>
      <c r="T45" s="11" t="s">
        <v>76</v>
      </c>
      <c r="U45" s="41" t="s">
        <v>49</v>
      </c>
      <c r="V45" s="40">
        <v>0</v>
      </c>
      <c r="W45" s="3">
        <v>27.62</v>
      </c>
      <c r="X45" s="3">
        <v>1565011.35</v>
      </c>
      <c r="Y45" s="3">
        <v>1576522.01</v>
      </c>
      <c r="Z45" s="3">
        <f t="shared" si="2"/>
        <v>100.73550009717181</v>
      </c>
      <c r="AA45" s="3">
        <f t="shared" si="29"/>
        <v>157351.10793923843</v>
      </c>
      <c r="AB45" s="3">
        <f t="shared" si="3"/>
        <v>1419170.9020607616</v>
      </c>
      <c r="AC45" s="107">
        <f t="shared" si="4"/>
        <v>1202687.2051362386</v>
      </c>
      <c r="AD45" s="122"/>
      <c r="AE45" s="4" t="s">
        <v>74</v>
      </c>
      <c r="AF45" s="11" t="s">
        <v>76</v>
      </c>
      <c r="AG45" s="124">
        <f t="shared" si="5"/>
        <v>194017.05510582885</v>
      </c>
      <c r="AH45" s="124">
        <f>(6.11/3)*82.25/79.4</f>
        <v>2.109771200671704</v>
      </c>
      <c r="AI45" s="108">
        <f t="shared" si="6"/>
        <v>145500.08151427368</v>
      </c>
      <c r="AJ45" s="108">
        <f t="shared" si="30"/>
        <v>35079.950343024546</v>
      </c>
      <c r="AK45" s="124">
        <f t="shared" si="7"/>
        <v>180580.03185729822</v>
      </c>
      <c r="AL45" s="109">
        <f t="shared" si="8"/>
        <v>13437.023248530642</v>
      </c>
      <c r="AM45" s="122"/>
      <c r="AN45" s="4" t="s">
        <v>74</v>
      </c>
      <c r="AO45" s="11" t="s">
        <v>76</v>
      </c>
      <c r="AP45" s="2">
        <f t="shared" si="33"/>
        <v>349012.3600336341</v>
      </c>
      <c r="AQ45" s="2">
        <f>(4.149+0.02)/3</f>
        <v>1.3896666666666666</v>
      </c>
      <c r="AR45" s="24">
        <f t="shared" si="10"/>
        <v>183084.26856103214</v>
      </c>
      <c r="AS45" s="24">
        <f t="shared" si="11"/>
        <v>49451.86264107426</v>
      </c>
      <c r="AT45" s="110">
        <f>72190.29/(D44+D45+D46)*D45</f>
        <v>24354.35693074205</v>
      </c>
      <c r="AU45" s="60">
        <f t="shared" si="34"/>
        <v>3138.2429940263955</v>
      </c>
      <c r="AV45" s="122"/>
      <c r="AW45" s="4" t="s">
        <v>74</v>
      </c>
      <c r="AX45" s="11" t="s">
        <v>76</v>
      </c>
      <c r="AY45" s="14">
        <f t="shared" si="12"/>
        <v>15847.46</v>
      </c>
      <c r="AZ45" s="7"/>
      <c r="BA45" s="2"/>
      <c r="BB45" s="2">
        <f>31694.92/2</f>
        <v>15847.46</v>
      </c>
      <c r="BC45" s="25">
        <f t="shared" si="13"/>
        <v>0.25886583928409196</v>
      </c>
      <c r="BD45" s="25">
        <f t="shared" si="14"/>
        <v>41563.535161338725</v>
      </c>
      <c r="BE45" s="24">
        <f t="shared" si="15"/>
        <v>10985.830618609121</v>
      </c>
      <c r="BF45" s="111">
        <f t="shared" si="16"/>
        <v>20586.80312681142</v>
      </c>
      <c r="BG45" s="122"/>
      <c r="BH45" s="4" t="s">
        <v>74</v>
      </c>
      <c r="BI45" s="11" t="s">
        <v>76</v>
      </c>
      <c r="BJ45" s="24">
        <f t="shared" si="17"/>
        <v>233456.8884568187</v>
      </c>
      <c r="BK45" s="24"/>
      <c r="BL45" s="14">
        <f t="shared" si="18"/>
        <v>2353.3766435110956</v>
      </c>
      <c r="BM45" s="2">
        <f>28000/37*2</f>
        <v>1513.5135135135135</v>
      </c>
      <c r="BN45" s="2">
        <f>141316.88/37*2</f>
        <v>7638.75027027027</v>
      </c>
      <c r="BO45" s="2">
        <f>35936.8/37*2</f>
        <v>1942.52972972973</v>
      </c>
      <c r="BP45" s="42">
        <f>3713050.58/37*2</f>
        <v>200705.43675675677</v>
      </c>
      <c r="BQ45" s="122"/>
      <c r="BR45" s="4" t="s">
        <v>74</v>
      </c>
      <c r="BS45" s="11" t="s">
        <v>76</v>
      </c>
      <c r="BT45" s="2">
        <f t="shared" si="31"/>
        <v>520.3850172771251</v>
      </c>
      <c r="BU45" s="2"/>
      <c r="BV45" s="2"/>
      <c r="BW45" s="24">
        <f t="shared" si="19"/>
        <v>8251.433111577071</v>
      </c>
      <c r="BX45" s="2"/>
      <c r="BY45" s="35">
        <f t="shared" si="20"/>
        <v>10531.463414183154</v>
      </c>
      <c r="BZ45" s="122"/>
      <c r="CA45" s="4" t="s">
        <v>74</v>
      </c>
      <c r="CB45" s="11" t="s">
        <v>76</v>
      </c>
      <c r="CC45" s="125">
        <f t="shared" si="1"/>
        <v>241656.0410470885</v>
      </c>
      <c r="CD45" s="112">
        <f t="shared" si="21"/>
        <v>0.9083837633059956</v>
      </c>
      <c r="CE45" s="108">
        <f t="shared" si="22"/>
        <v>169538.0051355233</v>
      </c>
      <c r="CF45" s="108">
        <f t="shared" si="23"/>
        <v>46559.90778468453</v>
      </c>
      <c r="CG45" s="108">
        <f t="shared" si="24"/>
        <v>25558.128126880685</v>
      </c>
      <c r="CH45" s="113">
        <f t="shared" si="25"/>
        <v>139005.2112272511</v>
      </c>
      <c r="CI45" s="114">
        <f t="shared" si="26"/>
        <v>14702.628221710764</v>
      </c>
      <c r="CJ45" s="114">
        <f t="shared" si="27"/>
        <v>29781.535826097122</v>
      </c>
      <c r="CK45" s="135">
        <f t="shared" si="28"/>
        <v>1055.4852178095052</v>
      </c>
      <c r="CL45" s="122"/>
      <c r="CM45" s="4" t="s">
        <v>74</v>
      </c>
      <c r="CN45" s="11" t="s">
        <v>76</v>
      </c>
      <c r="CO45" s="126">
        <v>242738.04</v>
      </c>
      <c r="CP45" s="127">
        <v>238685.6</v>
      </c>
      <c r="CQ45" s="128"/>
      <c r="CR45" s="122"/>
      <c r="CS45" s="4" t="s">
        <v>74</v>
      </c>
      <c r="CT45" s="11" t="s">
        <v>76</v>
      </c>
      <c r="CU45" s="129">
        <v>1.37</v>
      </c>
      <c r="CV45" s="130">
        <v>30005.14</v>
      </c>
      <c r="CW45" s="130">
        <v>32280.94</v>
      </c>
      <c r="CX45" s="12"/>
      <c r="CY45" s="8"/>
      <c r="CZ45" s="64"/>
      <c r="DA45" s="61"/>
      <c r="DB45" s="122"/>
      <c r="DC45" s="4" t="s">
        <v>74</v>
      </c>
      <c r="DD45" s="11" t="s">
        <v>76</v>
      </c>
      <c r="DE45" s="131">
        <v>1.31</v>
      </c>
      <c r="DF45" s="131">
        <v>15147.74</v>
      </c>
      <c r="DG45" s="133">
        <v>16043.16</v>
      </c>
      <c r="DH45" s="16"/>
      <c r="DI45" s="16"/>
      <c r="DJ45" s="16"/>
      <c r="DK45" s="16"/>
      <c r="DL45" s="16"/>
    </row>
    <row r="46" spans="1:116" ht="11.25" customHeight="1">
      <c r="A46" s="122"/>
      <c r="B46" s="4" t="s">
        <v>74</v>
      </c>
      <c r="C46" s="11" t="s">
        <v>77</v>
      </c>
      <c r="D46" s="2">
        <v>4823.4</v>
      </c>
      <c r="E46" s="36">
        <v>1989</v>
      </c>
      <c r="F46" s="37">
        <v>1</v>
      </c>
      <c r="G46" s="37">
        <v>14</v>
      </c>
      <c r="H46" s="37">
        <v>2</v>
      </c>
      <c r="I46" s="37">
        <v>96</v>
      </c>
      <c r="J46" s="37">
        <v>96</v>
      </c>
      <c r="K46" s="38">
        <v>617.6</v>
      </c>
      <c r="L46" s="39"/>
      <c r="M46" s="40"/>
      <c r="N46" s="40"/>
      <c r="O46" s="40"/>
      <c r="P46" s="37"/>
      <c r="Q46" s="123" t="s">
        <v>51</v>
      </c>
      <c r="R46" s="122"/>
      <c r="S46" s="4" t="s">
        <v>74</v>
      </c>
      <c r="T46" s="11" t="s">
        <v>77</v>
      </c>
      <c r="U46" s="41" t="s">
        <v>49</v>
      </c>
      <c r="V46" s="40">
        <v>0</v>
      </c>
      <c r="W46" s="3">
        <v>27.62</v>
      </c>
      <c r="X46" s="3">
        <v>1559887.98</v>
      </c>
      <c r="Y46" s="3">
        <v>1567917.42</v>
      </c>
      <c r="Z46" s="3">
        <f t="shared" si="2"/>
        <v>100.51474465493348</v>
      </c>
      <c r="AA46" s="3">
        <f t="shared" si="29"/>
        <v>151138.92659484362</v>
      </c>
      <c r="AB46" s="3">
        <f t="shared" si="3"/>
        <v>1416778.4934051563</v>
      </c>
      <c r="AC46" s="107">
        <f t="shared" si="4"/>
        <v>1200659.7401738614</v>
      </c>
      <c r="AD46" s="122"/>
      <c r="AE46" s="4" t="s">
        <v>74</v>
      </c>
      <c r="AF46" s="11" t="s">
        <v>77</v>
      </c>
      <c r="AG46" s="124">
        <f t="shared" si="5"/>
        <v>194017.05510582885</v>
      </c>
      <c r="AH46" s="124">
        <f>(6.11/3)*82.25/79.4</f>
        <v>2.109771200671704</v>
      </c>
      <c r="AI46" s="108">
        <f t="shared" si="6"/>
        <v>145500.08151427368</v>
      </c>
      <c r="AJ46" s="108">
        <f t="shared" si="30"/>
        <v>35079.950343024546</v>
      </c>
      <c r="AK46" s="124">
        <f t="shared" si="7"/>
        <v>180580.03185729822</v>
      </c>
      <c r="AL46" s="109">
        <f t="shared" si="8"/>
        <v>13437.023248530642</v>
      </c>
      <c r="AM46" s="122"/>
      <c r="AN46" s="4" t="s">
        <v>74</v>
      </c>
      <c r="AO46" s="11" t="s">
        <v>77</v>
      </c>
      <c r="AP46" s="2">
        <f t="shared" si="33"/>
        <v>348648.0646388956</v>
      </c>
      <c r="AQ46" s="2">
        <f>(4.149+0.02)/3</f>
        <v>1.3896666666666666</v>
      </c>
      <c r="AR46" s="24">
        <f t="shared" si="10"/>
        <v>183084.26856103214</v>
      </c>
      <c r="AS46" s="24">
        <f t="shared" si="11"/>
        <v>49451.86264107426</v>
      </c>
      <c r="AT46" s="110">
        <f>72190.29/(D44+D45+D46)*D46</f>
        <v>24263.809067571612</v>
      </c>
      <c r="AU46" s="60">
        <f t="shared" si="34"/>
        <v>3136.410825849424</v>
      </c>
      <c r="AV46" s="122"/>
      <c r="AW46" s="4" t="s">
        <v>74</v>
      </c>
      <c r="AX46" s="11" t="s">
        <v>77</v>
      </c>
      <c r="AY46" s="14">
        <f t="shared" si="12"/>
        <v>15847.46</v>
      </c>
      <c r="AZ46" s="7"/>
      <c r="BA46" s="2"/>
      <c r="BB46" s="2">
        <f>31694.92/2</f>
        <v>15847.46</v>
      </c>
      <c r="BC46" s="25">
        <f t="shared" si="13"/>
        <v>0.25790339348182123</v>
      </c>
      <c r="BD46" s="25">
        <f t="shared" si="14"/>
        <v>41409.00472945868</v>
      </c>
      <c r="BE46" s="24">
        <f t="shared" si="15"/>
        <v>10944.986038294552</v>
      </c>
      <c r="BF46" s="111">
        <f t="shared" si="16"/>
        <v>20510.26277561495</v>
      </c>
      <c r="BG46" s="122"/>
      <c r="BH46" s="4" t="s">
        <v>74</v>
      </c>
      <c r="BI46" s="11" t="s">
        <v>77</v>
      </c>
      <c r="BJ46" s="24">
        <f t="shared" si="17"/>
        <v>233378.30521291264</v>
      </c>
      <c r="BK46" s="24"/>
      <c r="BL46" s="14">
        <f t="shared" si="18"/>
        <v>2344.6269472283675</v>
      </c>
      <c r="BM46" s="2">
        <f>28000/37*2</f>
        <v>1513.5135135135135</v>
      </c>
      <c r="BN46" s="2">
        <f>141316.88/37*2</f>
        <v>7638.75027027027</v>
      </c>
      <c r="BO46" s="2">
        <f>35936.8/37*2</f>
        <v>1942.52972972973</v>
      </c>
      <c r="BP46" s="42">
        <f>3713050.58/37*2</f>
        <v>200705.43675675677</v>
      </c>
      <c r="BQ46" s="122"/>
      <c r="BR46" s="4" t="s">
        <v>74</v>
      </c>
      <c r="BS46" s="11" t="s">
        <v>77</v>
      </c>
      <c r="BT46" s="2">
        <f t="shared" si="31"/>
        <v>520.3850172771251</v>
      </c>
      <c r="BU46" s="2"/>
      <c r="BV46" s="2"/>
      <c r="BW46" s="24">
        <f t="shared" si="19"/>
        <v>8220.75483752238</v>
      </c>
      <c r="BX46" s="2"/>
      <c r="BY46" s="35">
        <f t="shared" si="20"/>
        <v>10492.308140614497</v>
      </c>
      <c r="BZ46" s="122"/>
      <c r="CA46" s="4" t="s">
        <v>74</v>
      </c>
      <c r="CB46" s="11" t="s">
        <v>77</v>
      </c>
      <c r="CC46" s="125">
        <f t="shared" si="1"/>
        <v>240757.58011866955</v>
      </c>
      <c r="CD46" s="112">
        <f t="shared" si="21"/>
        <v>0.9050064534907545</v>
      </c>
      <c r="CE46" s="108">
        <f t="shared" si="22"/>
        <v>168907.67422040796</v>
      </c>
      <c r="CF46" s="108">
        <f t="shared" si="23"/>
        <v>46386.801175000495</v>
      </c>
      <c r="CG46" s="108">
        <f t="shared" si="24"/>
        <v>25463.1047232611</v>
      </c>
      <c r="CH46" s="113">
        <f t="shared" si="25"/>
        <v>138488.399188979</v>
      </c>
      <c r="CI46" s="114">
        <f t="shared" si="26"/>
        <v>14647.964837567582</v>
      </c>
      <c r="CJ46" s="114">
        <f t="shared" si="27"/>
        <v>29670.810076340906</v>
      </c>
      <c r="CK46" s="135">
        <f t="shared" si="28"/>
        <v>1051.560994667321</v>
      </c>
      <c r="CL46" s="122"/>
      <c r="CM46" s="4" t="s">
        <v>74</v>
      </c>
      <c r="CN46" s="11" t="s">
        <v>77</v>
      </c>
      <c r="CO46" s="126">
        <v>241941.78</v>
      </c>
      <c r="CP46" s="127">
        <v>237961.54</v>
      </c>
      <c r="CQ46" s="128"/>
      <c r="CR46" s="122"/>
      <c r="CS46" s="4" t="s">
        <v>74</v>
      </c>
      <c r="CT46" s="11" t="s">
        <v>77</v>
      </c>
      <c r="CU46" s="129">
        <v>1.37</v>
      </c>
      <c r="CV46" s="130">
        <v>32987.33</v>
      </c>
      <c r="CW46" s="130">
        <v>35898.74</v>
      </c>
      <c r="CX46" s="12"/>
      <c r="CY46" s="8"/>
      <c r="CZ46" s="64"/>
      <c r="DA46" s="61"/>
      <c r="DB46" s="122"/>
      <c r="DC46" s="4" t="s">
        <v>74</v>
      </c>
      <c r="DD46" s="11" t="s">
        <v>77</v>
      </c>
      <c r="DE46" s="131">
        <v>1.31</v>
      </c>
      <c r="DF46" s="131">
        <v>10250.82</v>
      </c>
      <c r="DG46" s="133">
        <v>9502.26</v>
      </c>
      <c r="DH46" s="16"/>
      <c r="DI46" s="16"/>
      <c r="DJ46" s="16"/>
      <c r="DK46" s="16"/>
      <c r="DL46" s="16"/>
    </row>
    <row r="47" spans="1:116" ht="11.25" customHeight="1">
      <c r="A47" s="122">
        <v>39</v>
      </c>
      <c r="B47" s="4" t="s">
        <v>74</v>
      </c>
      <c r="C47" s="6">
        <v>4</v>
      </c>
      <c r="D47" s="43">
        <v>4516.3</v>
      </c>
      <c r="E47" s="36">
        <v>1971</v>
      </c>
      <c r="F47" s="37">
        <v>6</v>
      </c>
      <c r="G47" s="37">
        <v>5</v>
      </c>
      <c r="H47" s="37"/>
      <c r="I47" s="37">
        <v>100</v>
      </c>
      <c r="J47" s="37"/>
      <c r="K47" s="38">
        <v>471</v>
      </c>
      <c r="L47" s="39">
        <f>467+98</f>
        <v>565</v>
      </c>
      <c r="M47" s="40">
        <v>376</v>
      </c>
      <c r="N47" s="40">
        <v>0</v>
      </c>
      <c r="O47" s="40">
        <v>3114</v>
      </c>
      <c r="P47" s="37"/>
      <c r="Q47" s="123" t="s">
        <v>51</v>
      </c>
      <c r="R47" s="122">
        <v>39</v>
      </c>
      <c r="S47" s="4" t="s">
        <v>74</v>
      </c>
      <c r="T47" s="6">
        <v>4</v>
      </c>
      <c r="U47" s="41" t="s">
        <v>49</v>
      </c>
      <c r="V47" s="40">
        <v>1229</v>
      </c>
      <c r="W47" s="3">
        <v>20.6</v>
      </c>
      <c r="X47" s="3">
        <v>1085268.42</v>
      </c>
      <c r="Y47" s="3">
        <v>1026023.51</v>
      </c>
      <c r="Z47" s="3">
        <f t="shared" si="2"/>
        <v>94.54099014509241</v>
      </c>
      <c r="AA47" s="3">
        <f t="shared" si="29"/>
        <v>-97014.17783154058</v>
      </c>
      <c r="AB47" s="3">
        <f t="shared" si="3"/>
        <v>1123037.6878315406</v>
      </c>
      <c r="AC47" s="107">
        <f t="shared" si="4"/>
        <v>951726.854094526</v>
      </c>
      <c r="AD47" s="122">
        <v>39</v>
      </c>
      <c r="AE47" s="4" t="s">
        <v>74</v>
      </c>
      <c r="AF47" s="6">
        <v>4</v>
      </c>
      <c r="AG47" s="124">
        <f t="shared" si="5"/>
        <v>120982.81177630245</v>
      </c>
      <c r="AH47" s="124">
        <f>1.27*82.25/79.4</f>
        <v>1.3155856423173802</v>
      </c>
      <c r="AI47" s="108">
        <f t="shared" si="6"/>
        <v>90729.18339924431</v>
      </c>
      <c r="AJ47" s="108">
        <f t="shared" si="30"/>
        <v>21874.731719627416</v>
      </c>
      <c r="AK47" s="124">
        <f t="shared" si="7"/>
        <v>112603.91511887172</v>
      </c>
      <c r="AL47" s="109">
        <f t="shared" si="8"/>
        <v>8378.896657430729</v>
      </c>
      <c r="AM47" s="122">
        <v>39</v>
      </c>
      <c r="AN47" s="4" t="s">
        <v>74</v>
      </c>
      <c r="AO47" s="6">
        <v>4</v>
      </c>
      <c r="AP47" s="2">
        <f t="shared" si="33"/>
        <v>394185.82024040655</v>
      </c>
      <c r="AQ47" s="2">
        <f>1.499+0.02</f>
        <v>1.5190000000000001</v>
      </c>
      <c r="AR47" s="24">
        <f t="shared" si="10"/>
        <v>200123.5336609795</v>
      </c>
      <c r="AS47" s="24">
        <f t="shared" si="11"/>
        <v>54054.242757345986</v>
      </c>
      <c r="AT47" s="110">
        <v>68431.61</v>
      </c>
      <c r="AU47" s="60">
        <f t="shared" si="34"/>
        <v>3351.3585063465857</v>
      </c>
      <c r="AV47" s="122">
        <v>39</v>
      </c>
      <c r="AW47" s="4" t="s">
        <v>74</v>
      </c>
      <c r="AX47" s="6">
        <v>4</v>
      </c>
      <c r="AY47" s="14">
        <f t="shared" si="12"/>
        <v>0</v>
      </c>
      <c r="AZ47" s="2"/>
      <c r="BA47" s="2"/>
      <c r="BB47" s="2"/>
      <c r="BC47" s="25">
        <f t="shared" si="13"/>
        <v>0.24148299871085735</v>
      </c>
      <c r="BD47" s="25">
        <f t="shared" si="14"/>
        <v>38772.54386110508</v>
      </c>
      <c r="BE47" s="24">
        <f t="shared" si="15"/>
        <v>10248.132115260954</v>
      </c>
      <c r="BF47" s="111">
        <f t="shared" si="16"/>
        <v>19204.399339368454</v>
      </c>
      <c r="BG47" s="122">
        <v>39</v>
      </c>
      <c r="BH47" s="4" t="s">
        <v>74</v>
      </c>
      <c r="BI47" s="6">
        <v>4</v>
      </c>
      <c r="BJ47" s="24">
        <f t="shared" si="17"/>
        <v>38976.71019594245</v>
      </c>
      <c r="BK47" s="24"/>
      <c r="BL47" s="14">
        <f t="shared" si="18"/>
        <v>2195.3474067602683</v>
      </c>
      <c r="BM47" s="2"/>
      <c r="BN47" s="2"/>
      <c r="BO47" s="2"/>
      <c r="BP47" s="42"/>
      <c r="BQ47" s="122">
        <v>39</v>
      </c>
      <c r="BR47" s="4" t="s">
        <v>74</v>
      </c>
      <c r="BS47" s="6">
        <v>4</v>
      </c>
      <c r="BT47" s="2">
        <f t="shared" si="31"/>
        <v>542.0677263303387</v>
      </c>
      <c r="BU47" s="2"/>
      <c r="BV47" s="2">
        <f>8775.06+9942.61</f>
        <v>18717.67</v>
      </c>
      <c r="BW47" s="24">
        <f t="shared" si="19"/>
        <v>7697.3493951781575</v>
      </c>
      <c r="BX47" s="2"/>
      <c r="BY47" s="35">
        <f t="shared" si="20"/>
        <v>9824.275667673686</v>
      </c>
      <c r="BZ47" s="122">
        <v>39</v>
      </c>
      <c r="CA47" s="4" t="s">
        <v>74</v>
      </c>
      <c r="CB47" s="6">
        <v>4</v>
      </c>
      <c r="CC47" s="125">
        <f t="shared" si="1"/>
        <v>225428.8383899215</v>
      </c>
      <c r="CD47" s="112">
        <f t="shared" si="21"/>
        <v>0.8473857954762812</v>
      </c>
      <c r="CE47" s="108">
        <f t="shared" si="22"/>
        <v>158153.52844085675</v>
      </c>
      <c r="CF47" s="108">
        <f t="shared" si="23"/>
        <v>43433.41007311331</v>
      </c>
      <c r="CG47" s="108">
        <f t="shared" si="24"/>
        <v>23841.89987595143</v>
      </c>
      <c r="CH47" s="113">
        <f t="shared" si="25"/>
        <v>129671.011580459</v>
      </c>
      <c r="CI47" s="114">
        <f t="shared" si="26"/>
        <v>13715.346766991433</v>
      </c>
      <c r="CJ47" s="114">
        <f t="shared" si="27"/>
        <v>27781.70575688901</v>
      </c>
      <c r="CK47" s="115">
        <f t="shared" si="28"/>
        <v>984.6093876137211</v>
      </c>
      <c r="CL47" s="122">
        <v>39</v>
      </c>
      <c r="CM47" s="4" t="s">
        <v>74</v>
      </c>
      <c r="CN47" s="6">
        <v>4</v>
      </c>
      <c r="CO47" s="126">
        <v>226537.86</v>
      </c>
      <c r="CP47" s="127">
        <v>210604.84</v>
      </c>
      <c r="CQ47" s="128"/>
      <c r="CR47" s="122">
        <v>39</v>
      </c>
      <c r="CS47" s="4" t="s">
        <v>74</v>
      </c>
      <c r="CT47" s="6">
        <v>4</v>
      </c>
      <c r="CU47" s="129">
        <v>1.37</v>
      </c>
      <c r="CV47" s="130">
        <v>31108.82</v>
      </c>
      <c r="CW47" s="130">
        <v>32615.95</v>
      </c>
      <c r="CX47" s="12"/>
      <c r="CY47" s="8"/>
      <c r="CZ47" s="64"/>
      <c r="DA47" s="61"/>
      <c r="DB47" s="122">
        <v>39</v>
      </c>
      <c r="DC47" s="4" t="s">
        <v>74</v>
      </c>
      <c r="DD47" s="6">
        <v>4</v>
      </c>
      <c r="DE47" s="131">
        <v>1.17</v>
      </c>
      <c r="DF47" s="131">
        <v>8878.12</v>
      </c>
      <c r="DG47" s="133">
        <v>6677.15</v>
      </c>
      <c r="DH47" s="16"/>
      <c r="DI47" s="16"/>
      <c r="DJ47" s="16"/>
      <c r="DK47" s="16"/>
      <c r="DL47" s="16"/>
    </row>
    <row r="48" spans="1:116" ht="11.25" customHeight="1">
      <c r="A48" s="122">
        <v>40</v>
      </c>
      <c r="B48" s="4" t="s">
        <v>74</v>
      </c>
      <c r="C48" s="6">
        <v>8</v>
      </c>
      <c r="D48" s="43">
        <v>4412.7</v>
      </c>
      <c r="E48" s="36">
        <v>1971</v>
      </c>
      <c r="F48" s="37">
        <v>6</v>
      </c>
      <c r="G48" s="37">
        <v>5</v>
      </c>
      <c r="H48" s="37"/>
      <c r="I48" s="37">
        <v>90</v>
      </c>
      <c r="J48" s="37"/>
      <c r="K48" s="38">
        <v>476.5</v>
      </c>
      <c r="L48" s="39">
        <f>461+223</f>
        <v>684</v>
      </c>
      <c r="M48" s="40">
        <v>0</v>
      </c>
      <c r="N48" s="40">
        <v>1521</v>
      </c>
      <c r="O48" s="40">
        <v>2474</v>
      </c>
      <c r="P48" s="37"/>
      <c r="Q48" s="123" t="s">
        <v>48</v>
      </c>
      <c r="R48" s="122">
        <v>40</v>
      </c>
      <c r="S48" s="4" t="s">
        <v>74</v>
      </c>
      <c r="T48" s="6">
        <v>8</v>
      </c>
      <c r="U48" s="41" t="s">
        <v>49</v>
      </c>
      <c r="V48" s="40">
        <v>1110</v>
      </c>
      <c r="W48" s="3">
        <v>20.6</v>
      </c>
      <c r="X48" s="3">
        <v>1060373.28</v>
      </c>
      <c r="Y48" s="3">
        <v>1018637.73</v>
      </c>
      <c r="Z48" s="3">
        <f t="shared" si="2"/>
        <v>96.06407000372548</v>
      </c>
      <c r="AA48" s="3">
        <f t="shared" si="29"/>
        <v>17751.148256866494</v>
      </c>
      <c r="AB48" s="3">
        <f t="shared" si="3"/>
        <v>1000886.5817431335</v>
      </c>
      <c r="AC48" s="107">
        <f t="shared" si="4"/>
        <v>848208.9675789267</v>
      </c>
      <c r="AD48" s="122">
        <v>40</v>
      </c>
      <c r="AE48" s="4" t="s">
        <v>74</v>
      </c>
      <c r="AF48" s="6">
        <v>8</v>
      </c>
      <c r="AG48" s="124">
        <f t="shared" si="5"/>
        <v>166708.5989043538</v>
      </c>
      <c r="AH48" s="124">
        <f>1.75*82.25/79.4</f>
        <v>1.812814861460957</v>
      </c>
      <c r="AI48" s="108">
        <f t="shared" si="6"/>
        <v>125020.52830604532</v>
      </c>
      <c r="AJ48" s="108">
        <f t="shared" si="30"/>
        <v>30142.346857754317</v>
      </c>
      <c r="AK48" s="124">
        <f t="shared" si="7"/>
        <v>155162.87516379965</v>
      </c>
      <c r="AL48" s="109">
        <f t="shared" si="8"/>
        <v>11545.723740554155</v>
      </c>
      <c r="AM48" s="122">
        <v>40</v>
      </c>
      <c r="AN48" s="4" t="s">
        <v>74</v>
      </c>
      <c r="AO48" s="6">
        <v>8</v>
      </c>
      <c r="AP48" s="2">
        <f t="shared" si="33"/>
        <v>266461.48821424285</v>
      </c>
      <c r="AQ48" s="2">
        <f>1.105+0.018</f>
        <v>1.123</v>
      </c>
      <c r="AR48" s="24">
        <f t="shared" si="10"/>
        <v>147951.76320031597</v>
      </c>
      <c r="AS48" s="24">
        <f t="shared" si="11"/>
        <v>39962.41910236968</v>
      </c>
      <c r="AT48" s="110">
        <v>9300.29</v>
      </c>
      <c r="AU48" s="60">
        <f t="shared" si="34"/>
        <v>2586.964576229286</v>
      </c>
      <c r="AV48" s="122">
        <v>40</v>
      </c>
      <c r="AW48" s="4" t="s">
        <v>74</v>
      </c>
      <c r="AX48" s="6">
        <v>8</v>
      </c>
      <c r="AY48" s="14">
        <f t="shared" si="12"/>
        <v>0</v>
      </c>
      <c r="AZ48" s="2"/>
      <c r="BA48" s="2"/>
      <c r="BB48" s="2"/>
      <c r="BC48" s="25">
        <f t="shared" si="13"/>
        <v>0.23594358842667673</v>
      </c>
      <c r="BD48" s="25">
        <f t="shared" si="14"/>
        <v>37883.135375395424</v>
      </c>
      <c r="BE48" s="24">
        <f t="shared" si="15"/>
        <v>10013.048864117089</v>
      </c>
      <c r="BF48" s="111">
        <f t="shared" si="16"/>
        <v>18763.867095815418</v>
      </c>
      <c r="BG48" s="122">
        <v>40</v>
      </c>
      <c r="BH48" s="4" t="s">
        <v>74</v>
      </c>
      <c r="BI48" s="6">
        <v>8</v>
      </c>
      <c r="BJ48" s="24">
        <f t="shared" si="17"/>
        <v>26577.543197272214</v>
      </c>
      <c r="BK48" s="24">
        <f>3510+3315</f>
        <v>6825</v>
      </c>
      <c r="BL48" s="14">
        <f t="shared" si="18"/>
        <v>2144.9880437107886</v>
      </c>
      <c r="BM48" s="2"/>
      <c r="BN48" s="2"/>
      <c r="BO48" s="2"/>
      <c r="BP48" s="42"/>
      <c r="BQ48" s="122">
        <v>40</v>
      </c>
      <c r="BR48" s="4" t="s">
        <v>74</v>
      </c>
      <c r="BS48" s="6">
        <v>8</v>
      </c>
      <c r="BT48" s="2">
        <f t="shared" si="31"/>
        <v>487.8609536973048</v>
      </c>
      <c r="BU48" s="2"/>
      <c r="BV48" s="2"/>
      <c r="BW48" s="24">
        <f t="shared" si="19"/>
        <v>7520.778884507817</v>
      </c>
      <c r="BX48" s="2"/>
      <c r="BY48" s="35">
        <f t="shared" si="20"/>
        <v>9598.915315356304</v>
      </c>
      <c r="BZ48" s="122">
        <v>40</v>
      </c>
      <c r="CA48" s="4" t="s">
        <v>74</v>
      </c>
      <c r="CB48" s="6">
        <v>8</v>
      </c>
      <c r="CC48" s="125">
        <f t="shared" si="1"/>
        <v>220257.6966019101</v>
      </c>
      <c r="CD48" s="112">
        <f t="shared" si="21"/>
        <v>0.8279475012063384</v>
      </c>
      <c r="CE48" s="108">
        <f t="shared" si="22"/>
        <v>154525.62384052624</v>
      </c>
      <c r="CF48" s="108">
        <f t="shared" si="23"/>
        <v>42437.085364042934</v>
      </c>
      <c r="CG48" s="108">
        <f t="shared" si="24"/>
        <v>23294.987397340938</v>
      </c>
      <c r="CH48" s="113">
        <f t="shared" si="25"/>
        <v>126696.47118240404</v>
      </c>
      <c r="CI48" s="114">
        <f t="shared" si="26"/>
        <v>13400.728622700683</v>
      </c>
      <c r="CJ48" s="114">
        <f t="shared" si="27"/>
        <v>27144.41755273656</v>
      </c>
      <c r="CK48" s="115">
        <f t="shared" si="28"/>
        <v>962.0233033064825</v>
      </c>
      <c r="CL48" s="122">
        <v>40</v>
      </c>
      <c r="CM48" s="4" t="s">
        <v>74</v>
      </c>
      <c r="CN48" s="6">
        <v>8</v>
      </c>
      <c r="CO48" s="126">
        <v>221341.02</v>
      </c>
      <c r="CP48" s="127">
        <v>208731.43</v>
      </c>
      <c r="CQ48" s="128"/>
      <c r="CR48" s="122">
        <v>40</v>
      </c>
      <c r="CS48" s="4" t="s">
        <v>74</v>
      </c>
      <c r="CT48" s="6">
        <v>8</v>
      </c>
      <c r="CU48" s="129">
        <v>1.37</v>
      </c>
      <c r="CV48" s="130">
        <v>29177.77</v>
      </c>
      <c r="CW48" s="130">
        <v>30912.5</v>
      </c>
      <c r="CX48" s="12"/>
      <c r="CY48" s="8"/>
      <c r="CZ48" s="64"/>
      <c r="DA48" s="61"/>
      <c r="DB48" s="122">
        <v>40</v>
      </c>
      <c r="DC48" s="4" t="s">
        <v>74</v>
      </c>
      <c r="DD48" s="6">
        <v>8</v>
      </c>
      <c r="DE48" s="131">
        <v>1.17</v>
      </c>
      <c r="DF48" s="131">
        <v>8986.29</v>
      </c>
      <c r="DG48" s="133">
        <v>7725.93</v>
      </c>
      <c r="DH48" s="16"/>
      <c r="DI48" s="16"/>
      <c r="DJ48" s="16"/>
      <c r="DK48" s="16"/>
      <c r="DL48" s="16"/>
    </row>
    <row r="49" spans="1:116" ht="11.25" customHeight="1">
      <c r="A49" s="122">
        <v>41</v>
      </c>
      <c r="B49" s="4" t="s">
        <v>74</v>
      </c>
      <c r="C49" s="6" t="s">
        <v>78</v>
      </c>
      <c r="D49" s="43">
        <v>3936.8</v>
      </c>
      <c r="E49" s="44" t="s">
        <v>79</v>
      </c>
      <c r="F49" s="37">
        <v>2</v>
      </c>
      <c r="G49" s="37">
        <v>9</v>
      </c>
      <c r="H49" s="37">
        <v>2</v>
      </c>
      <c r="I49" s="37">
        <v>72</v>
      </c>
      <c r="J49" s="37"/>
      <c r="K49" s="38">
        <v>458.8</v>
      </c>
      <c r="L49" s="39">
        <f>343+560</f>
        <v>903</v>
      </c>
      <c r="M49" s="40">
        <v>0</v>
      </c>
      <c r="N49" s="40">
        <v>0</v>
      </c>
      <c r="O49" s="40">
        <v>4078</v>
      </c>
      <c r="P49" s="37"/>
      <c r="Q49" s="123" t="s">
        <v>51</v>
      </c>
      <c r="R49" s="122">
        <v>41</v>
      </c>
      <c r="S49" s="4" t="s">
        <v>74</v>
      </c>
      <c r="T49" s="6" t="s">
        <v>78</v>
      </c>
      <c r="U49" s="41" t="s">
        <v>49</v>
      </c>
      <c r="V49" s="40">
        <v>713</v>
      </c>
      <c r="W49" s="3">
        <v>26.34</v>
      </c>
      <c r="X49" s="3">
        <v>1213638.5</v>
      </c>
      <c r="Y49" s="3">
        <v>1205021.19</v>
      </c>
      <c r="Z49" s="3">
        <f t="shared" si="2"/>
        <v>99.2899607255373</v>
      </c>
      <c r="AA49" s="3">
        <f t="shared" si="29"/>
        <v>33792.81826226576</v>
      </c>
      <c r="AB49" s="3">
        <f t="shared" si="3"/>
        <v>1171228.3717377342</v>
      </c>
      <c r="AC49" s="107">
        <f t="shared" si="4"/>
        <v>992566.4167268934</v>
      </c>
      <c r="AD49" s="122">
        <v>41</v>
      </c>
      <c r="AE49" s="4" t="s">
        <v>74</v>
      </c>
      <c r="AF49" s="6" t="s">
        <v>78</v>
      </c>
      <c r="AG49" s="124">
        <f t="shared" si="5"/>
        <v>118124.95008079926</v>
      </c>
      <c r="AH49" s="124">
        <f>1.24*82.25/79.4</f>
        <v>1.2845088161209066</v>
      </c>
      <c r="AI49" s="108">
        <f t="shared" si="6"/>
        <v>88585.97434256926</v>
      </c>
      <c r="AJ49" s="108">
        <f t="shared" si="30"/>
        <v>21358.005773494486</v>
      </c>
      <c r="AK49" s="124">
        <f t="shared" si="7"/>
        <v>109943.98011606374</v>
      </c>
      <c r="AL49" s="109">
        <f t="shared" si="8"/>
        <v>8180.969964735515</v>
      </c>
      <c r="AM49" s="122">
        <v>41</v>
      </c>
      <c r="AN49" s="4" t="s">
        <v>74</v>
      </c>
      <c r="AO49" s="6" t="s">
        <v>78</v>
      </c>
      <c r="AP49" s="2">
        <f t="shared" si="33"/>
        <v>292183.5935084147</v>
      </c>
      <c r="AQ49" s="2">
        <f>1.228+0.02</f>
        <v>1.248</v>
      </c>
      <c r="AR49" s="24">
        <f t="shared" si="10"/>
        <v>164420.1250881517</v>
      </c>
      <c r="AS49" s="24">
        <f t="shared" si="11"/>
        <v>44410.595761137454</v>
      </c>
      <c r="AT49" s="110">
        <v>21105.48</v>
      </c>
      <c r="AU49" s="60">
        <f t="shared" si="34"/>
        <v>2776.481403676747</v>
      </c>
      <c r="AV49" s="122">
        <v>41</v>
      </c>
      <c r="AW49" s="4" t="s">
        <v>74</v>
      </c>
      <c r="AX49" s="6" t="s">
        <v>78</v>
      </c>
      <c r="AY49" s="14">
        <f t="shared" si="12"/>
        <v>0</v>
      </c>
      <c r="AZ49" s="7"/>
      <c r="BA49" s="2"/>
      <c r="BB49" s="2"/>
      <c r="BC49" s="25">
        <f t="shared" si="13"/>
        <v>0.2104975907988626</v>
      </c>
      <c r="BD49" s="25">
        <f t="shared" si="14"/>
        <v>33797.522456966646</v>
      </c>
      <c r="BE49" s="24">
        <f t="shared" si="15"/>
        <v>8933.163543466848</v>
      </c>
      <c r="BF49" s="111">
        <f t="shared" si="16"/>
        <v>16740.225255015328</v>
      </c>
      <c r="BG49" s="122">
        <v>41</v>
      </c>
      <c r="BH49" s="4" t="s">
        <v>74</v>
      </c>
      <c r="BI49" s="6" t="s">
        <v>78</v>
      </c>
      <c r="BJ49" s="24">
        <f t="shared" si="17"/>
        <v>235691.23762264178</v>
      </c>
      <c r="BK49" s="24"/>
      <c r="BL49" s="14">
        <f t="shared" si="18"/>
        <v>1913.655795880217</v>
      </c>
      <c r="BM49" s="2">
        <f>28000/37*2</f>
        <v>1513.5135135135135</v>
      </c>
      <c r="BN49" s="2">
        <f>141316.88/37*2</f>
        <v>7638.75027027027</v>
      </c>
      <c r="BO49" s="2">
        <f>35936.8/37*2</f>
        <v>1942.52972972973</v>
      </c>
      <c r="BP49" s="42">
        <f>3713050.58/37*2</f>
        <v>200705.43675675677</v>
      </c>
      <c r="BQ49" s="122">
        <v>41</v>
      </c>
      <c r="BR49" s="4" t="s">
        <v>74</v>
      </c>
      <c r="BS49" s="6" t="s">
        <v>78</v>
      </c>
      <c r="BT49" s="2">
        <f t="shared" si="31"/>
        <v>390.28876295784386</v>
      </c>
      <c r="BU49" s="2"/>
      <c r="BV49" s="2"/>
      <c r="BW49" s="24">
        <f t="shared" si="19"/>
        <v>6709.679405472924</v>
      </c>
      <c r="BX49" s="2">
        <v>6313.69</v>
      </c>
      <c r="BY49" s="35">
        <f t="shared" si="20"/>
        <v>8563.69338806053</v>
      </c>
      <c r="BZ49" s="122">
        <v>41</v>
      </c>
      <c r="CA49" s="4" t="s">
        <v>74</v>
      </c>
      <c r="CB49" s="6" t="s">
        <v>78</v>
      </c>
      <c r="CC49" s="125">
        <f t="shared" si="1"/>
        <v>196503.38794443305</v>
      </c>
      <c r="CD49" s="112">
        <f t="shared" si="21"/>
        <v>0.738655182257827</v>
      </c>
      <c r="CE49" s="108">
        <f t="shared" si="22"/>
        <v>137860.37481256004</v>
      </c>
      <c r="CF49" s="108">
        <f t="shared" si="23"/>
        <v>37860.33894467429</v>
      </c>
      <c r="CG49" s="108">
        <f t="shared" si="24"/>
        <v>20782.67418719872</v>
      </c>
      <c r="CH49" s="113">
        <f t="shared" si="25"/>
        <v>113032.53512608795</v>
      </c>
      <c r="CI49" s="114">
        <f t="shared" si="26"/>
        <v>11955.489483048486</v>
      </c>
      <c r="CJ49" s="114">
        <f t="shared" si="27"/>
        <v>24216.951757793027</v>
      </c>
      <c r="CK49" s="115">
        <f t="shared" si="28"/>
        <v>858.2712036750653</v>
      </c>
      <c r="CL49" s="122">
        <v>41</v>
      </c>
      <c r="CM49" s="4" t="s">
        <v>74</v>
      </c>
      <c r="CN49" s="6" t="s">
        <v>78</v>
      </c>
      <c r="CO49" s="126">
        <v>197469.82</v>
      </c>
      <c r="CP49" s="127">
        <v>191966.36</v>
      </c>
      <c r="CQ49" s="128"/>
      <c r="CR49" s="122">
        <v>41</v>
      </c>
      <c r="CS49" s="4" t="s">
        <v>74</v>
      </c>
      <c r="CT49" s="6" t="s">
        <v>78</v>
      </c>
      <c r="CU49" s="129">
        <v>1.37</v>
      </c>
      <c r="CV49" s="130">
        <v>24698.32</v>
      </c>
      <c r="CW49" s="130">
        <v>25859.16</v>
      </c>
      <c r="CX49" s="12"/>
      <c r="CY49" s="8"/>
      <c r="CZ49" s="64"/>
      <c r="DA49" s="61"/>
      <c r="DB49" s="122">
        <v>41</v>
      </c>
      <c r="DC49" s="4" t="s">
        <v>74</v>
      </c>
      <c r="DD49" s="6" t="s">
        <v>78</v>
      </c>
      <c r="DE49" s="131">
        <v>1.31</v>
      </c>
      <c r="DF49" s="131">
        <v>11113.14</v>
      </c>
      <c r="DG49" s="133">
        <v>10659.47</v>
      </c>
      <c r="DH49" s="16"/>
      <c r="DI49" s="16"/>
      <c r="DJ49" s="16"/>
      <c r="DK49" s="16"/>
      <c r="DL49" s="16"/>
    </row>
    <row r="50" spans="1:116" ht="11.25" customHeight="1">
      <c r="A50" s="122">
        <v>42</v>
      </c>
      <c r="B50" s="4" t="s">
        <v>74</v>
      </c>
      <c r="C50" s="6">
        <v>10</v>
      </c>
      <c r="D50" s="43">
        <v>3642.8</v>
      </c>
      <c r="E50" s="36">
        <v>1968</v>
      </c>
      <c r="F50" s="37">
        <v>6</v>
      </c>
      <c r="G50" s="37">
        <v>5</v>
      </c>
      <c r="H50" s="37"/>
      <c r="I50" s="37">
        <v>80</v>
      </c>
      <c r="J50" s="37"/>
      <c r="K50" s="38">
        <v>564.3</v>
      </c>
      <c r="L50" s="39">
        <f>1344</f>
        <v>1344</v>
      </c>
      <c r="M50" s="40">
        <v>0</v>
      </c>
      <c r="N50" s="40">
        <v>0</v>
      </c>
      <c r="O50" s="40">
        <v>4051</v>
      </c>
      <c r="P50" s="37"/>
      <c r="Q50" s="123" t="s">
        <v>51</v>
      </c>
      <c r="R50" s="122">
        <v>42</v>
      </c>
      <c r="S50" s="4" t="s">
        <v>74</v>
      </c>
      <c r="T50" s="6">
        <v>10</v>
      </c>
      <c r="U50" s="41" t="s">
        <v>49</v>
      </c>
      <c r="V50" s="40">
        <v>1241</v>
      </c>
      <c r="W50" s="3">
        <v>20.6</v>
      </c>
      <c r="X50" s="3">
        <v>875101.6</v>
      </c>
      <c r="Y50" s="3">
        <v>939322.6</v>
      </c>
      <c r="Z50" s="3">
        <f t="shared" si="2"/>
        <v>107.33869073031063</v>
      </c>
      <c r="AA50" s="3">
        <f t="shared" si="29"/>
        <v>-171855.6076544359</v>
      </c>
      <c r="AB50" s="3">
        <f t="shared" si="3"/>
        <v>1111178.207654436</v>
      </c>
      <c r="AC50" s="107">
        <f t="shared" si="4"/>
        <v>941676.4471647762</v>
      </c>
      <c r="AD50" s="122">
        <v>42</v>
      </c>
      <c r="AE50" s="4" t="s">
        <v>74</v>
      </c>
      <c r="AF50" s="6">
        <v>10</v>
      </c>
      <c r="AG50" s="124">
        <f t="shared" si="5"/>
        <v>151466.66986167003</v>
      </c>
      <c r="AH50" s="124">
        <f>1.59*82.25/79.4</f>
        <v>1.647071788413098</v>
      </c>
      <c r="AI50" s="108">
        <f t="shared" si="6"/>
        <v>113590.08000377832</v>
      </c>
      <c r="AJ50" s="108">
        <f t="shared" si="30"/>
        <v>27386.47514504535</v>
      </c>
      <c r="AK50" s="124">
        <f t="shared" si="7"/>
        <v>140976.55514882368</v>
      </c>
      <c r="AL50" s="109">
        <f t="shared" si="8"/>
        <v>10490.114712846345</v>
      </c>
      <c r="AM50" s="122">
        <v>42</v>
      </c>
      <c r="AN50" s="4" t="s">
        <v>74</v>
      </c>
      <c r="AO50" s="6">
        <v>10</v>
      </c>
      <c r="AP50" s="2">
        <f t="shared" si="33"/>
        <v>386634.71195568977</v>
      </c>
      <c r="AQ50" s="2">
        <f>1.347+0.018</f>
        <v>1.365</v>
      </c>
      <c r="AR50" s="24">
        <f t="shared" si="10"/>
        <v>179834.5118151659</v>
      </c>
      <c r="AS50" s="24">
        <f t="shared" si="11"/>
        <v>48574.089113744085</v>
      </c>
      <c r="AT50" s="110">
        <v>100227.2</v>
      </c>
      <c r="AU50" s="60">
        <f t="shared" si="34"/>
        <v>2969.284040052248</v>
      </c>
      <c r="AV50" s="122">
        <v>42</v>
      </c>
      <c r="AW50" s="4" t="s">
        <v>74</v>
      </c>
      <c r="AX50" s="6">
        <v>10</v>
      </c>
      <c r="AY50" s="14">
        <f t="shared" si="12"/>
        <v>0</v>
      </c>
      <c r="AZ50" s="2"/>
      <c r="BA50" s="2"/>
      <c r="BB50" s="2"/>
      <c r="BC50" s="25">
        <f t="shared" si="13"/>
        <v>0.19477764269510686</v>
      </c>
      <c r="BD50" s="25">
        <f t="shared" si="14"/>
        <v>31273.525402925752</v>
      </c>
      <c r="BE50" s="24">
        <f t="shared" si="15"/>
        <v>8266.035398328855</v>
      </c>
      <c r="BF50" s="111">
        <f t="shared" si="16"/>
        <v>15490.066185472931</v>
      </c>
      <c r="BG50" s="122">
        <v>42</v>
      </c>
      <c r="BH50" s="4" t="s">
        <v>74</v>
      </c>
      <c r="BI50" s="6">
        <v>10</v>
      </c>
      <c r="BJ50" s="24">
        <f t="shared" si="17"/>
        <v>82890.00645334533</v>
      </c>
      <c r="BK50" s="24"/>
      <c r="BL50" s="14">
        <f t="shared" si="18"/>
        <v>1770.7440899289916</v>
      </c>
      <c r="BM50" s="2"/>
      <c r="BN50" s="2"/>
      <c r="BO50" s="2"/>
      <c r="BP50" s="42"/>
      <c r="BQ50" s="122">
        <v>42</v>
      </c>
      <c r="BR50" s="4" t="s">
        <v>74</v>
      </c>
      <c r="BS50" s="6">
        <v>10</v>
      </c>
      <c r="BT50" s="2">
        <f t="shared" si="31"/>
        <v>433.6541810642709</v>
      </c>
      <c r="BU50" s="2"/>
      <c r="BV50" s="2">
        <f>35442.96+20079.38</f>
        <v>55522.34</v>
      </c>
      <c r="BW50" s="24">
        <f t="shared" si="19"/>
        <v>6208.600929246284</v>
      </c>
      <c r="BX50" s="2">
        <v>11030.51</v>
      </c>
      <c r="BY50" s="35">
        <f t="shared" si="20"/>
        <v>7924.157253105796</v>
      </c>
      <c r="BZ50" s="122">
        <v>42</v>
      </c>
      <c r="CA50" s="4" t="s">
        <v>74</v>
      </c>
      <c r="CB50" s="6">
        <v>10</v>
      </c>
      <c r="CC50" s="125">
        <f t="shared" si="1"/>
        <v>181828.52611358993</v>
      </c>
      <c r="CD50" s="112">
        <f t="shared" si="21"/>
        <v>0.6834924552755569</v>
      </c>
      <c r="CE50" s="108">
        <f t="shared" si="22"/>
        <v>127564.96986567613</v>
      </c>
      <c r="CF50" s="108">
        <f t="shared" si="23"/>
        <v>35032.930986501604</v>
      </c>
      <c r="CG50" s="108">
        <f t="shared" si="24"/>
        <v>19230.62526141219</v>
      </c>
      <c r="CH50" s="113">
        <f t="shared" si="25"/>
        <v>104591.27183431039</v>
      </c>
      <c r="CI50" s="114">
        <f t="shared" si="26"/>
        <v>11062.654208709873</v>
      </c>
      <c r="CJ50" s="114">
        <f t="shared" si="27"/>
        <v>22408.431178441486</v>
      </c>
      <c r="CK50" s="115">
        <f t="shared" si="28"/>
        <v>794.1755590193883</v>
      </c>
      <c r="CL50" s="122">
        <v>42</v>
      </c>
      <c r="CM50" s="4" t="s">
        <v>74</v>
      </c>
      <c r="CN50" s="6">
        <v>10</v>
      </c>
      <c r="CO50" s="126">
        <v>182667.78</v>
      </c>
      <c r="CP50" s="127">
        <v>187116.62</v>
      </c>
      <c r="CQ50" s="128"/>
      <c r="CR50" s="122">
        <v>42</v>
      </c>
      <c r="CS50" s="4" t="s">
        <v>74</v>
      </c>
      <c r="CT50" s="6">
        <v>10</v>
      </c>
      <c r="CU50" s="129">
        <v>1.37</v>
      </c>
      <c r="CV50" s="130">
        <v>22483.61</v>
      </c>
      <c r="CW50" s="130">
        <v>29742.18</v>
      </c>
      <c r="CX50" s="12"/>
      <c r="CY50" s="8"/>
      <c r="CZ50" s="64"/>
      <c r="DA50" s="61"/>
      <c r="DB50" s="122">
        <v>42</v>
      </c>
      <c r="DC50" s="4" t="s">
        <v>74</v>
      </c>
      <c r="DD50" s="6">
        <v>10</v>
      </c>
      <c r="DE50" s="131">
        <v>1.04</v>
      </c>
      <c r="DF50" s="131">
        <v>8025.95</v>
      </c>
      <c r="DG50" s="133">
        <v>7044.38</v>
      </c>
      <c r="DH50" s="16"/>
      <c r="DI50" s="16"/>
      <c r="DJ50" s="16"/>
      <c r="DK50" s="16"/>
      <c r="DL50" s="16"/>
    </row>
    <row r="51" spans="1:116" ht="11.25" customHeight="1">
      <c r="A51" s="122">
        <v>43</v>
      </c>
      <c r="B51" s="4" t="s">
        <v>74</v>
      </c>
      <c r="C51" s="6" t="s">
        <v>80</v>
      </c>
      <c r="D51" s="2">
        <v>4402.1</v>
      </c>
      <c r="E51" s="36">
        <v>1969</v>
      </c>
      <c r="F51" s="37">
        <v>6</v>
      </c>
      <c r="G51" s="37">
        <v>5</v>
      </c>
      <c r="H51" s="37"/>
      <c r="I51" s="37">
        <v>90</v>
      </c>
      <c r="J51" s="37"/>
      <c r="K51" s="38">
        <v>490.3</v>
      </c>
      <c r="L51" s="39">
        <f>347+319+35</f>
        <v>701</v>
      </c>
      <c r="M51" s="40">
        <v>0</v>
      </c>
      <c r="N51" s="40">
        <v>0</v>
      </c>
      <c r="O51" s="40">
        <v>4527</v>
      </c>
      <c r="P51" s="37"/>
      <c r="Q51" s="123" t="s">
        <v>48</v>
      </c>
      <c r="R51" s="122">
        <v>43</v>
      </c>
      <c r="S51" s="4" t="s">
        <v>74</v>
      </c>
      <c r="T51" s="6" t="s">
        <v>80</v>
      </c>
      <c r="U51" s="41" t="s">
        <v>49</v>
      </c>
      <c r="V51" s="40">
        <v>1110</v>
      </c>
      <c r="W51" s="3">
        <v>20.6</v>
      </c>
      <c r="X51" s="3">
        <v>1057826.16</v>
      </c>
      <c r="Y51" s="3">
        <v>1086242.42</v>
      </c>
      <c r="Z51" s="3">
        <f t="shared" si="2"/>
        <v>102.68628826498298</v>
      </c>
      <c r="AA51" s="3">
        <f t="shared" si="29"/>
        <v>89578.35486206261</v>
      </c>
      <c r="AB51" s="3">
        <f t="shared" si="3"/>
        <v>996664.0651379373</v>
      </c>
      <c r="AC51" s="107">
        <f t="shared" si="4"/>
        <v>844630.5636762182</v>
      </c>
      <c r="AD51" s="122">
        <v>43</v>
      </c>
      <c r="AE51" s="4" t="s">
        <v>74</v>
      </c>
      <c r="AF51" s="6" t="s">
        <v>80</v>
      </c>
      <c r="AG51" s="124">
        <f t="shared" si="5"/>
        <v>131461.63799314757</v>
      </c>
      <c r="AH51" s="124">
        <f>1.38*82.25/79.4</f>
        <v>1.4295340050377832</v>
      </c>
      <c r="AI51" s="108">
        <f t="shared" si="6"/>
        <v>98587.61660705289</v>
      </c>
      <c r="AJ51" s="108">
        <f t="shared" si="30"/>
        <v>23769.39352211483</v>
      </c>
      <c r="AK51" s="124">
        <f t="shared" si="7"/>
        <v>122357.01012916771</v>
      </c>
      <c r="AL51" s="109">
        <f t="shared" si="8"/>
        <v>9104.627863979847</v>
      </c>
      <c r="AM51" s="122">
        <v>43</v>
      </c>
      <c r="AN51" s="4" t="s">
        <v>74</v>
      </c>
      <c r="AO51" s="6" t="s">
        <v>80</v>
      </c>
      <c r="AP51" s="2">
        <f t="shared" si="33"/>
        <v>285748.32730146096</v>
      </c>
      <c r="AQ51" s="2">
        <f>1.104+0.02</f>
        <v>1.124</v>
      </c>
      <c r="AR51" s="24">
        <f t="shared" si="10"/>
        <v>148083.51009541866</v>
      </c>
      <c r="AS51" s="24">
        <f t="shared" si="11"/>
        <v>39998.00451563982</v>
      </c>
      <c r="AT51" s="110">
        <v>28579.1</v>
      </c>
      <c r="AU51" s="60">
        <f t="shared" si="34"/>
        <v>2587.7892912937255</v>
      </c>
      <c r="AV51" s="122">
        <v>43</v>
      </c>
      <c r="AW51" s="4" t="s">
        <v>74</v>
      </c>
      <c r="AX51" s="6" t="s">
        <v>80</v>
      </c>
      <c r="AY51" s="14">
        <f t="shared" si="12"/>
        <v>0</v>
      </c>
      <c r="AZ51" s="7"/>
      <c r="BA51" s="2"/>
      <c r="BB51" s="2"/>
      <c r="BC51" s="25">
        <f t="shared" si="13"/>
        <v>0.23537681478756176</v>
      </c>
      <c r="BD51" s="25">
        <f t="shared" si="14"/>
        <v>37792.13412106607</v>
      </c>
      <c r="BE51" s="24">
        <f t="shared" si="15"/>
        <v>9988.995944598511</v>
      </c>
      <c r="BF51" s="111">
        <f t="shared" si="16"/>
        <v>18718.793333444162</v>
      </c>
      <c r="BG51" s="122">
        <v>43</v>
      </c>
      <c r="BH51" s="4" t="s">
        <v>74</v>
      </c>
      <c r="BI51" s="6" t="s">
        <v>80</v>
      </c>
      <c r="BJ51" s="24">
        <f t="shared" si="17"/>
        <v>39892.40639808308</v>
      </c>
      <c r="BK51" s="24">
        <f>3549+3549</f>
        <v>7098</v>
      </c>
      <c r="BL51" s="14">
        <f t="shared" si="18"/>
        <v>2139.8354447887377</v>
      </c>
      <c r="BM51" s="2"/>
      <c r="BN51" s="2"/>
      <c r="BO51" s="2"/>
      <c r="BP51" s="42"/>
      <c r="BQ51" s="122">
        <v>43</v>
      </c>
      <c r="BR51" s="4" t="s">
        <v>74</v>
      </c>
      <c r="BS51" s="6" t="s">
        <v>80</v>
      </c>
      <c r="BT51" s="2">
        <f t="shared" si="31"/>
        <v>487.8609536973048</v>
      </c>
      <c r="BU51" s="2"/>
      <c r="BV51" s="2"/>
      <c r="BW51" s="24">
        <f t="shared" si="19"/>
        <v>7502.712789786721</v>
      </c>
      <c r="BX51" s="2">
        <v>13088.14</v>
      </c>
      <c r="BY51" s="35">
        <f t="shared" si="20"/>
        <v>9575.857209810318</v>
      </c>
      <c r="BZ51" s="122">
        <v>43</v>
      </c>
      <c r="CA51" s="4" t="s">
        <v>74</v>
      </c>
      <c r="CB51" s="6" t="s">
        <v>80</v>
      </c>
      <c r="CC51" s="125">
        <f t="shared" si="1"/>
        <v>219728.60294406343</v>
      </c>
      <c r="CD51" s="112">
        <f t="shared" si="21"/>
        <v>0.8259586409818077</v>
      </c>
      <c r="CE51" s="108">
        <f t="shared" si="22"/>
        <v>154154.42896829167</v>
      </c>
      <c r="CF51" s="108">
        <f t="shared" si="23"/>
        <v>42335.144805006785</v>
      </c>
      <c r="CG51" s="108">
        <f t="shared" si="24"/>
        <v>23239.029170764963</v>
      </c>
      <c r="CH51" s="113">
        <f t="shared" si="25"/>
        <v>126392.1263154216</v>
      </c>
      <c r="CI51" s="114">
        <f t="shared" si="26"/>
        <v>13368.537963149702</v>
      </c>
      <c r="CJ51" s="114">
        <f t="shared" si="27"/>
        <v>27079.212388991236</v>
      </c>
      <c r="CK51" s="115">
        <f t="shared" si="28"/>
        <v>959.7123719005297</v>
      </c>
      <c r="CL51" s="122">
        <v>43</v>
      </c>
      <c r="CM51" s="4" t="s">
        <v>74</v>
      </c>
      <c r="CN51" s="6" t="s">
        <v>80</v>
      </c>
      <c r="CO51" s="126">
        <v>220809.48</v>
      </c>
      <c r="CP51" s="127">
        <v>134213.8</v>
      </c>
      <c r="CQ51" s="128"/>
      <c r="CR51" s="122">
        <v>43</v>
      </c>
      <c r="CS51" s="4" t="s">
        <v>74</v>
      </c>
      <c r="CT51" s="6" t="s">
        <v>80</v>
      </c>
      <c r="CU51" s="129">
        <v>1.37</v>
      </c>
      <c r="CV51" s="130">
        <v>26333.85</v>
      </c>
      <c r="CW51" s="130">
        <v>27397.04</v>
      </c>
      <c r="CX51" s="12"/>
      <c r="CY51" s="8"/>
      <c r="CZ51" s="64"/>
      <c r="DA51" s="61"/>
      <c r="DB51" s="122">
        <v>43</v>
      </c>
      <c r="DC51" s="4" t="s">
        <v>74</v>
      </c>
      <c r="DD51" s="6" t="s">
        <v>80</v>
      </c>
      <c r="DE51" s="131">
        <v>1.04</v>
      </c>
      <c r="DF51" s="131">
        <v>11331.12</v>
      </c>
      <c r="DG51" s="133">
        <v>12253.25</v>
      </c>
      <c r="DH51" s="16"/>
      <c r="DI51" s="16"/>
      <c r="DJ51" s="16"/>
      <c r="DK51" s="16"/>
      <c r="DL51" s="16"/>
    </row>
    <row r="52" spans="1:116" ht="11.25" customHeight="1">
      <c r="A52" s="122">
        <v>44</v>
      </c>
      <c r="B52" s="4" t="s">
        <v>74</v>
      </c>
      <c r="C52" s="6" t="s">
        <v>81</v>
      </c>
      <c r="D52" s="2">
        <v>4370.3</v>
      </c>
      <c r="E52" s="36">
        <v>1969</v>
      </c>
      <c r="F52" s="37">
        <v>6</v>
      </c>
      <c r="G52" s="37">
        <v>5</v>
      </c>
      <c r="H52" s="37"/>
      <c r="I52" s="37">
        <v>90</v>
      </c>
      <c r="J52" s="37"/>
      <c r="K52" s="38">
        <v>493.2</v>
      </c>
      <c r="L52" s="39">
        <f>388+279+464</f>
        <v>1131</v>
      </c>
      <c r="M52" s="40">
        <v>0</v>
      </c>
      <c r="N52" s="40">
        <v>0</v>
      </c>
      <c r="O52" s="40">
        <v>4782</v>
      </c>
      <c r="P52" s="37"/>
      <c r="Q52" s="123" t="s">
        <v>48</v>
      </c>
      <c r="R52" s="122">
        <v>44</v>
      </c>
      <c r="S52" s="4" t="s">
        <v>74</v>
      </c>
      <c r="T52" s="6" t="s">
        <v>81</v>
      </c>
      <c r="U52" s="41" t="s">
        <v>49</v>
      </c>
      <c r="V52" s="40">
        <v>1106</v>
      </c>
      <c r="W52" s="3">
        <v>20.6</v>
      </c>
      <c r="X52" s="3">
        <v>1050043.7</v>
      </c>
      <c r="Y52" s="3">
        <v>1086153.31</v>
      </c>
      <c r="Z52" s="3">
        <f t="shared" si="2"/>
        <v>103.43886735380634</v>
      </c>
      <c r="AA52" s="3">
        <f t="shared" si="29"/>
        <v>4828.571094301064</v>
      </c>
      <c r="AB52" s="3">
        <f t="shared" si="3"/>
        <v>1081324.738905699</v>
      </c>
      <c r="AC52" s="107">
        <f t="shared" si="4"/>
        <v>916376.897377711</v>
      </c>
      <c r="AD52" s="122">
        <v>44</v>
      </c>
      <c r="AE52" s="4" t="s">
        <v>74</v>
      </c>
      <c r="AF52" s="6" t="s">
        <v>81</v>
      </c>
      <c r="AG52" s="124">
        <f t="shared" si="5"/>
        <v>145750.9464706636</v>
      </c>
      <c r="AH52" s="124">
        <f>1.53*82.25/79.4</f>
        <v>1.584918136020151</v>
      </c>
      <c r="AI52" s="108">
        <f t="shared" si="6"/>
        <v>109303.6618904282</v>
      </c>
      <c r="AJ52" s="108">
        <f t="shared" si="30"/>
        <v>26353.023252779487</v>
      </c>
      <c r="AK52" s="124">
        <f t="shared" si="7"/>
        <v>135656.68514320767</v>
      </c>
      <c r="AL52" s="109">
        <f t="shared" si="8"/>
        <v>10094.261327455917</v>
      </c>
      <c r="AM52" s="122">
        <v>44</v>
      </c>
      <c r="AN52" s="4" t="s">
        <v>74</v>
      </c>
      <c r="AO52" s="6" t="s">
        <v>81</v>
      </c>
      <c r="AP52" s="2">
        <f t="shared" si="33"/>
        <v>348221.61876159953</v>
      </c>
      <c r="AQ52" s="2">
        <f>1.101+0.02</f>
        <v>1.121</v>
      </c>
      <c r="AR52" s="24">
        <f t="shared" si="10"/>
        <v>147688.2694101106</v>
      </c>
      <c r="AS52" s="24">
        <f t="shared" si="11"/>
        <v>39891.24827582939</v>
      </c>
      <c r="AT52" s="110">
        <v>92043.72</v>
      </c>
      <c r="AU52" s="60">
        <f t="shared" si="34"/>
        <v>2578.841485208442</v>
      </c>
      <c r="AV52" s="122">
        <v>44</v>
      </c>
      <c r="AW52" s="4" t="s">
        <v>74</v>
      </c>
      <c r="AX52" s="6" t="s">
        <v>81</v>
      </c>
      <c r="AY52" s="14">
        <f t="shared" si="12"/>
        <v>0</v>
      </c>
      <c r="AZ52" s="7"/>
      <c r="BA52" s="2"/>
      <c r="BB52" s="2"/>
      <c r="BC52" s="25">
        <f t="shared" si="13"/>
        <v>0.23367649387021674</v>
      </c>
      <c r="BD52" s="25">
        <f t="shared" si="14"/>
        <v>37519.13035807797</v>
      </c>
      <c r="BE52" s="24">
        <f t="shared" si="15"/>
        <v>9916.837186042769</v>
      </c>
      <c r="BF52" s="111">
        <f t="shared" si="16"/>
        <v>18583.57204633039</v>
      </c>
      <c r="BG52" s="122">
        <v>44</v>
      </c>
      <c r="BH52" s="4" t="s">
        <v>74</v>
      </c>
      <c r="BI52" s="6" t="s">
        <v>81</v>
      </c>
      <c r="BJ52" s="24">
        <f t="shared" si="17"/>
        <v>37675.57600051568</v>
      </c>
      <c r="BK52" s="24">
        <f>3510+3510</f>
        <v>7020</v>
      </c>
      <c r="BL52" s="14">
        <f t="shared" si="18"/>
        <v>2124.3776480225847</v>
      </c>
      <c r="BM52" s="2"/>
      <c r="BN52" s="2"/>
      <c r="BO52" s="2"/>
      <c r="BP52" s="42"/>
      <c r="BQ52" s="122">
        <v>44</v>
      </c>
      <c r="BR52" s="4" t="s">
        <v>74</v>
      </c>
      <c r="BS52" s="6" t="s">
        <v>81</v>
      </c>
      <c r="BT52" s="2">
        <f t="shared" si="31"/>
        <v>487.8609536973048</v>
      </c>
      <c r="BU52" s="2"/>
      <c r="BV52" s="2"/>
      <c r="BW52" s="24">
        <f t="shared" si="19"/>
        <v>7448.5145056234305</v>
      </c>
      <c r="BX52" s="2">
        <v>11088.14</v>
      </c>
      <c r="BY52" s="35">
        <f t="shared" si="20"/>
        <v>9506.682893172356</v>
      </c>
      <c r="BZ52" s="122">
        <v>44</v>
      </c>
      <c r="CA52" s="4" t="s">
        <v>74</v>
      </c>
      <c r="CB52" s="6" t="s">
        <v>81</v>
      </c>
      <c r="CC52" s="125">
        <f t="shared" si="1"/>
        <v>218141.32197052322</v>
      </c>
      <c r="CD52" s="112">
        <f t="shared" si="21"/>
        <v>0.8199920603082151</v>
      </c>
      <c r="CE52" s="108">
        <f t="shared" si="22"/>
        <v>153040.84435158788</v>
      </c>
      <c r="CF52" s="108">
        <f t="shared" si="23"/>
        <v>42029.3231278983</v>
      </c>
      <c r="CG52" s="108">
        <f t="shared" si="24"/>
        <v>23071.15449103703</v>
      </c>
      <c r="CH52" s="113">
        <f t="shared" si="25"/>
        <v>125479.09171447423</v>
      </c>
      <c r="CI52" s="114">
        <f t="shared" si="26"/>
        <v>13271.965984496748</v>
      </c>
      <c r="CJ52" s="114">
        <f t="shared" si="27"/>
        <v>26883.59689775525</v>
      </c>
      <c r="CK52" s="115">
        <f t="shared" si="28"/>
        <v>952.7795776826706</v>
      </c>
      <c r="CL52" s="122">
        <v>44</v>
      </c>
      <c r="CM52" s="4" t="s">
        <v>74</v>
      </c>
      <c r="CN52" s="6" t="s">
        <v>81</v>
      </c>
      <c r="CO52" s="126">
        <v>219185.23</v>
      </c>
      <c r="CP52" s="127">
        <v>218171.96</v>
      </c>
      <c r="CQ52" s="128"/>
      <c r="CR52" s="122">
        <v>44</v>
      </c>
      <c r="CS52" s="4" t="s">
        <v>74</v>
      </c>
      <c r="CT52" s="6" t="s">
        <v>81</v>
      </c>
      <c r="CU52" s="129">
        <v>1.37</v>
      </c>
      <c r="CV52" s="130">
        <v>28591.35</v>
      </c>
      <c r="CW52" s="130">
        <v>30455.65</v>
      </c>
      <c r="CX52" s="12"/>
      <c r="CY52" s="8"/>
      <c r="CZ52" s="64"/>
      <c r="DA52" s="61"/>
      <c r="DB52" s="122">
        <v>44</v>
      </c>
      <c r="DC52" s="4" t="s">
        <v>74</v>
      </c>
      <c r="DD52" s="6" t="s">
        <v>81</v>
      </c>
      <c r="DE52" s="131">
        <v>1.04</v>
      </c>
      <c r="DF52" s="131">
        <v>8624.84</v>
      </c>
      <c r="DG52" s="138">
        <v>8500.74</v>
      </c>
      <c r="DH52" s="16"/>
      <c r="DI52" s="16"/>
      <c r="DJ52" s="16"/>
      <c r="DK52" s="16"/>
      <c r="DL52" s="16"/>
    </row>
    <row r="53" spans="1:116" ht="11.25" customHeight="1">
      <c r="A53" s="122">
        <v>45</v>
      </c>
      <c r="B53" s="4" t="s">
        <v>74</v>
      </c>
      <c r="C53" s="6">
        <v>12</v>
      </c>
      <c r="D53" s="43">
        <v>2293.3</v>
      </c>
      <c r="E53" s="36">
        <v>1979</v>
      </c>
      <c r="F53" s="37">
        <v>1</v>
      </c>
      <c r="G53" s="37">
        <v>9</v>
      </c>
      <c r="H53" s="37">
        <v>1</v>
      </c>
      <c r="I53" s="37">
        <v>54</v>
      </c>
      <c r="J53" s="37"/>
      <c r="K53" s="38">
        <v>149.1</v>
      </c>
      <c r="L53" s="39">
        <f>812+139</f>
        <v>951</v>
      </c>
      <c r="M53" s="40">
        <v>710</v>
      </c>
      <c r="N53" s="40">
        <v>0</v>
      </c>
      <c r="O53" s="40">
        <v>3752</v>
      </c>
      <c r="P53" s="37"/>
      <c r="Q53" s="123" t="s">
        <v>51</v>
      </c>
      <c r="R53" s="122">
        <v>45</v>
      </c>
      <c r="S53" s="4" t="s">
        <v>74</v>
      </c>
      <c r="T53" s="6">
        <v>12</v>
      </c>
      <c r="U53" s="41" t="s">
        <v>49</v>
      </c>
      <c r="V53" s="40">
        <v>388</v>
      </c>
      <c r="W53" s="3">
        <v>26.34</v>
      </c>
      <c r="X53" s="3">
        <v>706879.25</v>
      </c>
      <c r="Y53" s="3">
        <v>699094.04</v>
      </c>
      <c r="Z53" s="3">
        <f t="shared" si="2"/>
        <v>98.8986506535593</v>
      </c>
      <c r="AA53" s="3">
        <f t="shared" si="29"/>
        <v>-48071.774276355514</v>
      </c>
      <c r="AB53" s="3">
        <f t="shared" si="3"/>
        <v>747165.8142763556</v>
      </c>
      <c r="AC53" s="107">
        <f t="shared" si="4"/>
        <v>633191.3680308098</v>
      </c>
      <c r="AD53" s="122">
        <v>45</v>
      </c>
      <c r="AE53" s="4" t="s">
        <v>74</v>
      </c>
      <c r="AF53" s="6">
        <v>12</v>
      </c>
      <c r="AG53" s="124">
        <f t="shared" si="5"/>
        <v>107646.12386395418</v>
      </c>
      <c r="AH53" s="124">
        <f>1.13*82.25/79.4</f>
        <v>1.1705604534005036</v>
      </c>
      <c r="AI53" s="108">
        <f t="shared" si="6"/>
        <v>80727.5411347607</v>
      </c>
      <c r="AJ53" s="108">
        <f t="shared" si="30"/>
        <v>19463.343971007074</v>
      </c>
      <c r="AK53" s="124">
        <f t="shared" si="7"/>
        <v>100190.88510576778</v>
      </c>
      <c r="AL53" s="109">
        <f t="shared" si="8"/>
        <v>7455.238758186397</v>
      </c>
      <c r="AM53" s="122">
        <v>45</v>
      </c>
      <c r="AN53" s="4" t="s">
        <v>74</v>
      </c>
      <c r="AO53" s="6">
        <v>12</v>
      </c>
      <c r="AP53" s="2">
        <f t="shared" si="33"/>
        <v>207455.36971139733</v>
      </c>
      <c r="AQ53" s="2">
        <f>0.787+0.018</f>
        <v>0.805</v>
      </c>
      <c r="AR53" s="24">
        <f t="shared" si="10"/>
        <v>106056.25055766194</v>
      </c>
      <c r="AS53" s="24">
        <f t="shared" si="11"/>
        <v>28646.257682464464</v>
      </c>
      <c r="AT53" s="110">
        <v>25347.69</v>
      </c>
      <c r="AU53" s="60">
        <f t="shared" si="34"/>
        <v>1765.8735343371534</v>
      </c>
      <c r="AV53" s="122">
        <v>45</v>
      </c>
      <c r="AW53" s="4" t="s">
        <v>74</v>
      </c>
      <c r="AX53" s="6">
        <v>12</v>
      </c>
      <c r="AY53" s="14">
        <f t="shared" si="12"/>
        <v>10995.77</v>
      </c>
      <c r="AZ53" s="7">
        <f>2129.24+6499.99+2366.54</f>
        <v>10995.77</v>
      </c>
      <c r="BA53" s="2"/>
      <c r="BB53" s="2"/>
      <c r="BC53" s="25">
        <f t="shared" si="13"/>
        <v>0.12262094213041852</v>
      </c>
      <c r="BD53" s="25">
        <f t="shared" si="14"/>
        <v>19688.03552391831</v>
      </c>
      <c r="BE53" s="24">
        <f t="shared" si="15"/>
        <v>5203.826446411431</v>
      </c>
      <c r="BF53" s="111">
        <f t="shared" si="16"/>
        <v>9751.665966604007</v>
      </c>
      <c r="BG53" s="122">
        <v>45</v>
      </c>
      <c r="BH53" s="4" t="s">
        <v>74</v>
      </c>
      <c r="BI53" s="6">
        <v>12</v>
      </c>
      <c r="BJ53" s="24">
        <f t="shared" si="17"/>
        <v>116204.77355456506</v>
      </c>
      <c r="BK53" s="24"/>
      <c r="BL53" s="14">
        <f t="shared" si="18"/>
        <v>1114.7599158433504</v>
      </c>
      <c r="BM53" s="2">
        <f>28000/37</f>
        <v>756.7567567567568</v>
      </c>
      <c r="BN53" s="2">
        <f>141316.88/37</f>
        <v>3819.375135135135</v>
      </c>
      <c r="BO53" s="2">
        <f>35936.8/37</f>
        <v>971.264864864865</v>
      </c>
      <c r="BP53" s="42">
        <f>3713050.58/37</f>
        <v>100352.71837837838</v>
      </c>
      <c r="BQ53" s="122">
        <v>45</v>
      </c>
      <c r="BR53" s="4" t="s">
        <v>74</v>
      </c>
      <c r="BS53" s="6">
        <v>12</v>
      </c>
      <c r="BT53" s="2">
        <f t="shared" si="31"/>
        <v>292.71657221838285</v>
      </c>
      <c r="BU53" s="2"/>
      <c r="BV53" s="2"/>
      <c r="BW53" s="24">
        <f t="shared" si="19"/>
        <v>3908.5825494236583</v>
      </c>
      <c r="BX53" s="2"/>
      <c r="BY53" s="35">
        <f t="shared" si="20"/>
        <v>4988.599381944527</v>
      </c>
      <c r="BZ53" s="122">
        <v>45</v>
      </c>
      <c r="CA53" s="4" t="s">
        <v>74</v>
      </c>
      <c r="CB53" s="6">
        <v>12</v>
      </c>
      <c r="CC53" s="125">
        <f t="shared" si="1"/>
        <v>114468.91373017892</v>
      </c>
      <c r="CD53" s="112">
        <f t="shared" si="21"/>
        <v>0.4302880332940141</v>
      </c>
      <c r="CE53" s="108">
        <f t="shared" si="22"/>
        <v>80307.66042411196</v>
      </c>
      <c r="CF53" s="108">
        <f t="shared" si="23"/>
        <v>22054.743777134106</v>
      </c>
      <c r="CG53" s="108">
        <f t="shared" si="24"/>
        <v>12106.509528932847</v>
      </c>
      <c r="CH53" s="113">
        <f t="shared" si="25"/>
        <v>65844.72485385528</v>
      </c>
      <c r="CI53" s="114">
        <f t="shared" si="26"/>
        <v>6964.41882530865</v>
      </c>
      <c r="CJ53" s="114">
        <f t="shared" si="27"/>
        <v>14107.075661996229</v>
      </c>
      <c r="CK53" s="115">
        <f t="shared" si="28"/>
        <v>499.9678295539594</v>
      </c>
      <c r="CL53" s="122">
        <v>45</v>
      </c>
      <c r="CM53" s="4" t="s">
        <v>74</v>
      </c>
      <c r="CN53" s="6">
        <v>12</v>
      </c>
      <c r="CO53" s="126">
        <v>115016.22</v>
      </c>
      <c r="CP53" s="127">
        <v>113923.51</v>
      </c>
      <c r="CQ53" s="128"/>
      <c r="CR53" s="122">
        <v>45</v>
      </c>
      <c r="CS53" s="4" t="s">
        <v>74</v>
      </c>
      <c r="CT53" s="6">
        <v>12</v>
      </c>
      <c r="CU53" s="129">
        <v>1.37</v>
      </c>
      <c r="CV53" s="130">
        <v>12939.11</v>
      </c>
      <c r="CW53" s="130">
        <v>13523.65</v>
      </c>
      <c r="CX53" s="12"/>
      <c r="CY53" s="8"/>
      <c r="CZ53" s="64"/>
      <c r="DA53" s="61"/>
      <c r="DB53" s="122">
        <v>45</v>
      </c>
      <c r="DC53" s="4" t="s">
        <v>74</v>
      </c>
      <c r="DD53" s="6">
        <v>12</v>
      </c>
      <c r="DE53" s="131">
        <v>1.31</v>
      </c>
      <c r="DF53" s="131">
        <v>5866.37</v>
      </c>
      <c r="DG53" s="133">
        <v>5779.36</v>
      </c>
      <c r="DH53" s="16"/>
      <c r="DI53" s="16"/>
      <c r="DJ53" s="16"/>
      <c r="DK53" s="16"/>
      <c r="DL53" s="16"/>
    </row>
    <row r="54" spans="1:116" ht="11.25" customHeight="1">
      <c r="A54" s="122">
        <v>46</v>
      </c>
      <c r="B54" s="4" t="s">
        <v>82</v>
      </c>
      <c r="C54" s="11" t="s">
        <v>83</v>
      </c>
      <c r="D54" s="2">
        <v>913.1</v>
      </c>
      <c r="E54" s="36">
        <v>1952</v>
      </c>
      <c r="F54" s="37">
        <v>2</v>
      </c>
      <c r="G54" s="37">
        <v>2</v>
      </c>
      <c r="H54" s="37"/>
      <c r="I54" s="37">
        <v>12</v>
      </c>
      <c r="J54" s="37"/>
      <c r="K54" s="38">
        <v>82</v>
      </c>
      <c r="L54" s="39">
        <f>79+139+147</f>
        <v>365</v>
      </c>
      <c r="M54" s="40">
        <v>0</v>
      </c>
      <c r="N54" s="40">
        <v>0</v>
      </c>
      <c r="O54" s="40">
        <v>1141</v>
      </c>
      <c r="P54" s="37"/>
      <c r="Q54" s="123" t="s">
        <v>73</v>
      </c>
      <c r="R54" s="122">
        <v>46</v>
      </c>
      <c r="S54" s="4" t="s">
        <v>82</v>
      </c>
      <c r="T54" s="11" t="s">
        <v>83</v>
      </c>
      <c r="U54" s="41" t="s">
        <v>52</v>
      </c>
      <c r="V54" s="40">
        <v>888</v>
      </c>
      <c r="W54" s="3">
        <v>13.85</v>
      </c>
      <c r="X54" s="3">
        <v>142315.92</v>
      </c>
      <c r="Y54" s="3">
        <v>197960.5</v>
      </c>
      <c r="Z54" s="3">
        <f t="shared" si="2"/>
        <v>139.09933618108218</v>
      </c>
      <c r="AA54" s="3">
        <f t="shared" si="29"/>
        <v>-66628.07788508874</v>
      </c>
      <c r="AB54" s="3">
        <f t="shared" si="3"/>
        <v>264588.57788508874</v>
      </c>
      <c r="AC54" s="107">
        <f t="shared" si="4"/>
        <v>224227.6083771939</v>
      </c>
      <c r="AD54" s="122">
        <v>46</v>
      </c>
      <c r="AE54" s="4" t="s">
        <v>82</v>
      </c>
      <c r="AF54" s="11" t="s">
        <v>83</v>
      </c>
      <c r="AG54" s="124">
        <f t="shared" si="5"/>
        <v>32389.09921570303</v>
      </c>
      <c r="AH54" s="124">
        <f>0.34*82.25/79.4</f>
        <v>0.35220403022670027</v>
      </c>
      <c r="AI54" s="108">
        <f t="shared" si="6"/>
        <v>24289.70264231738</v>
      </c>
      <c r="AJ54" s="108">
        <f t="shared" si="30"/>
        <v>5856.227389506555</v>
      </c>
      <c r="AK54" s="124">
        <f t="shared" si="7"/>
        <v>30145.930031823937</v>
      </c>
      <c r="AL54" s="109">
        <f t="shared" si="8"/>
        <v>2243.169183879093</v>
      </c>
      <c r="AM54" s="122">
        <v>46</v>
      </c>
      <c r="AN54" s="4" t="s">
        <v>82</v>
      </c>
      <c r="AO54" s="11" t="s">
        <v>83</v>
      </c>
      <c r="AP54" s="2">
        <f t="shared" si="33"/>
        <v>106516.56480039134</v>
      </c>
      <c r="AQ54" s="2">
        <f>0.319+0.018</f>
        <v>0.337</v>
      </c>
      <c r="AR54" s="24">
        <f t="shared" si="10"/>
        <v>44398.703649605064</v>
      </c>
      <c r="AS54" s="24">
        <f t="shared" si="11"/>
        <v>11992.284272037918</v>
      </c>
      <c r="AT54" s="110">
        <v>35597.44</v>
      </c>
      <c r="AU54" s="60">
        <f t="shared" si="34"/>
        <v>734.4747502809831</v>
      </c>
      <c r="AV54" s="122">
        <v>46</v>
      </c>
      <c r="AW54" s="4" t="s">
        <v>82</v>
      </c>
      <c r="AX54" s="11" t="s">
        <v>83</v>
      </c>
      <c r="AY54" s="14">
        <f t="shared" si="12"/>
        <v>0</v>
      </c>
      <c r="AZ54" s="2"/>
      <c r="BA54" s="2"/>
      <c r="BB54" s="2"/>
      <c r="BC54" s="25">
        <f t="shared" si="13"/>
        <v>0.048822736780746154</v>
      </c>
      <c r="BD54" s="25">
        <f t="shared" si="14"/>
        <v>7838.985408315446</v>
      </c>
      <c r="BE54" s="24">
        <f t="shared" si="15"/>
        <v>2071.9547936241565</v>
      </c>
      <c r="BF54" s="111">
        <f t="shared" si="16"/>
        <v>3882.7219265277627</v>
      </c>
      <c r="BG54" s="122">
        <v>46</v>
      </c>
      <c r="BH54" s="4" t="s">
        <v>82</v>
      </c>
      <c r="BI54" s="11" t="s">
        <v>83</v>
      </c>
      <c r="BJ54" s="24">
        <f t="shared" si="17"/>
        <v>4939.401461084052</v>
      </c>
      <c r="BK54" s="24"/>
      <c r="BL54" s="14">
        <f t="shared" si="18"/>
        <v>443.8526486532783</v>
      </c>
      <c r="BM54" s="2"/>
      <c r="BN54" s="2"/>
      <c r="BO54" s="2"/>
      <c r="BP54" s="42"/>
      <c r="BQ54" s="122">
        <v>46</v>
      </c>
      <c r="BR54" s="4" t="s">
        <v>82</v>
      </c>
      <c r="BS54" s="11" t="s">
        <v>83</v>
      </c>
      <c r="BT54" s="2">
        <f t="shared" si="31"/>
        <v>65.04812715964064</v>
      </c>
      <c r="BU54" s="2">
        <f>18.5*I54*4</f>
        <v>888</v>
      </c>
      <c r="BV54" s="2"/>
      <c r="BW54" s="24">
        <f t="shared" si="19"/>
        <v>1556.2406688521967</v>
      </c>
      <c r="BX54" s="2"/>
      <c r="BY54" s="35">
        <f t="shared" si="20"/>
        <v>1986.2600164189366</v>
      </c>
      <c r="BZ54" s="122">
        <v>46</v>
      </c>
      <c r="CA54" s="4" t="s">
        <v>82</v>
      </c>
      <c r="CB54" s="11" t="s">
        <v>83</v>
      </c>
      <c r="CC54" s="125">
        <f t="shared" si="1"/>
        <v>45576.92631885334</v>
      </c>
      <c r="CD54" s="112">
        <f t="shared" si="21"/>
        <v>0.1713234217942547</v>
      </c>
      <c r="CE54" s="108">
        <f t="shared" si="22"/>
        <v>31975.28658843441</v>
      </c>
      <c r="CF54" s="108">
        <f t="shared" si="23"/>
        <v>8781.313627916606</v>
      </c>
      <c r="CG54" s="108">
        <f t="shared" si="24"/>
        <v>4820.326102502326</v>
      </c>
      <c r="CH54" s="113">
        <f t="shared" si="25"/>
        <v>26216.726230347213</v>
      </c>
      <c r="CI54" s="114">
        <f t="shared" si="26"/>
        <v>2772.9520033965587</v>
      </c>
      <c r="CJ54" s="114">
        <f t="shared" si="27"/>
        <v>5616.871227911201</v>
      </c>
      <c r="CK54" s="115">
        <f t="shared" si="28"/>
        <v>199.0671195071383</v>
      </c>
      <c r="CL54" s="122">
        <v>46</v>
      </c>
      <c r="CM54" s="4" t="s">
        <v>82</v>
      </c>
      <c r="CN54" s="11" t="s">
        <v>83</v>
      </c>
      <c r="CO54" s="126">
        <v>44101.54</v>
      </c>
      <c r="CP54" s="127">
        <v>41481.16</v>
      </c>
      <c r="CQ54" s="128"/>
      <c r="CR54" s="122">
        <v>46</v>
      </c>
      <c r="CS54" s="4" t="s">
        <v>82</v>
      </c>
      <c r="CT54" s="11" t="s">
        <v>83</v>
      </c>
      <c r="CU54" s="129">
        <v>0</v>
      </c>
      <c r="CV54" s="130">
        <v>0</v>
      </c>
      <c r="CW54" s="130">
        <v>-494.48</v>
      </c>
      <c r="CX54" s="12"/>
      <c r="CY54" s="8"/>
      <c r="CZ54" s="64"/>
      <c r="DA54" s="61"/>
      <c r="DB54" s="122">
        <v>46</v>
      </c>
      <c r="DC54" s="4" t="s">
        <v>82</v>
      </c>
      <c r="DD54" s="11" t="s">
        <v>83</v>
      </c>
      <c r="DE54" s="131">
        <v>0</v>
      </c>
      <c r="DF54" s="131">
        <v>0</v>
      </c>
      <c r="DG54" s="133">
        <v>0</v>
      </c>
      <c r="DH54" s="16"/>
      <c r="DI54" s="16"/>
      <c r="DJ54" s="16"/>
      <c r="DK54" s="16"/>
      <c r="DL54" s="16"/>
    </row>
    <row r="55" spans="1:116" ht="11.25" customHeight="1">
      <c r="A55" s="122">
        <v>47</v>
      </c>
      <c r="B55" s="4" t="s">
        <v>82</v>
      </c>
      <c r="C55" s="6">
        <v>13</v>
      </c>
      <c r="D55" s="43">
        <v>0</v>
      </c>
      <c r="E55" s="36">
        <v>1952</v>
      </c>
      <c r="F55" s="37">
        <v>2</v>
      </c>
      <c r="G55" s="37">
        <v>2</v>
      </c>
      <c r="H55" s="37"/>
      <c r="I55" s="37">
        <v>12</v>
      </c>
      <c r="J55" s="37"/>
      <c r="K55" s="38">
        <v>85</v>
      </c>
      <c r="L55" s="39">
        <f>163+424+121</f>
        <v>708</v>
      </c>
      <c r="M55" s="40">
        <v>0</v>
      </c>
      <c r="N55" s="40">
        <v>0</v>
      </c>
      <c r="O55" s="40">
        <v>3139</v>
      </c>
      <c r="P55" s="37"/>
      <c r="Q55" s="123" t="s">
        <v>73</v>
      </c>
      <c r="R55" s="122">
        <v>47</v>
      </c>
      <c r="S55" s="4" t="s">
        <v>82</v>
      </c>
      <c r="T55" s="6">
        <v>13</v>
      </c>
      <c r="U55" s="41" t="s">
        <v>52</v>
      </c>
      <c r="V55" s="40">
        <v>881</v>
      </c>
      <c r="W55" s="3">
        <v>13.16</v>
      </c>
      <c r="X55" s="3">
        <v>24461.86</v>
      </c>
      <c r="Y55" s="3">
        <v>54043.24</v>
      </c>
      <c r="Z55" s="3">
        <f t="shared" si="2"/>
        <v>220.92858024696403</v>
      </c>
      <c r="AA55" s="3">
        <f t="shared" si="29"/>
        <v>-101297.8975749778</v>
      </c>
      <c r="AB55" s="3">
        <f t="shared" si="3"/>
        <v>155341.1375749778</v>
      </c>
      <c r="AC55" s="107">
        <f t="shared" si="4"/>
        <v>131645.03184320152</v>
      </c>
      <c r="AD55" s="122">
        <v>47</v>
      </c>
      <c r="AE55" s="4" t="s">
        <v>82</v>
      </c>
      <c r="AF55" s="6">
        <v>13</v>
      </c>
      <c r="AG55" s="124">
        <f t="shared" si="5"/>
        <v>65730.81899657378</v>
      </c>
      <c r="AH55" s="124">
        <f>0.69*82.25/79.4</f>
        <v>0.7147670025188916</v>
      </c>
      <c r="AI55" s="108">
        <f t="shared" si="6"/>
        <v>49293.80830352644</v>
      </c>
      <c r="AJ55" s="108">
        <f t="shared" si="30"/>
        <v>11884.696761057416</v>
      </c>
      <c r="AK55" s="124">
        <f t="shared" si="7"/>
        <v>61178.50506458386</v>
      </c>
      <c r="AL55" s="109">
        <f t="shared" si="8"/>
        <v>4552.313931989924</v>
      </c>
      <c r="AM55" s="122">
        <v>47</v>
      </c>
      <c r="AN55" s="4" t="s">
        <v>82</v>
      </c>
      <c r="AO55" s="6">
        <v>13</v>
      </c>
      <c r="AP55" s="2">
        <f t="shared" si="33"/>
        <v>64961.16471946808</v>
      </c>
      <c r="AQ55" s="2">
        <f>0.323+0.018</f>
        <v>0.341</v>
      </c>
      <c r="AR55" s="24">
        <f t="shared" si="10"/>
        <v>44925.69123001581</v>
      </c>
      <c r="AS55" s="24">
        <f t="shared" si="11"/>
        <v>12134.625925118487</v>
      </c>
      <c r="AT55" s="110">
        <v>7251.7</v>
      </c>
      <c r="AU55" s="60">
        <f t="shared" si="34"/>
        <v>649.147564333782</v>
      </c>
      <c r="AV55" s="122">
        <v>47</v>
      </c>
      <c r="AW55" s="4" t="s">
        <v>82</v>
      </c>
      <c r="AX55" s="6">
        <v>13</v>
      </c>
      <c r="AY55" s="14">
        <f t="shared" si="12"/>
        <v>0</v>
      </c>
      <c r="AZ55" s="7"/>
      <c r="BA55" s="2"/>
      <c r="BB55" s="2"/>
      <c r="BC55" s="25">
        <f t="shared" si="13"/>
        <v>0</v>
      </c>
      <c r="BD55" s="25">
        <f t="shared" si="14"/>
        <v>0</v>
      </c>
      <c r="BE55" s="24">
        <f t="shared" si="15"/>
        <v>0</v>
      </c>
      <c r="BF55" s="111">
        <f t="shared" si="16"/>
        <v>0</v>
      </c>
      <c r="BG55" s="122">
        <v>47</v>
      </c>
      <c r="BH55" s="4" t="s">
        <v>82</v>
      </c>
      <c r="BI55" s="6">
        <v>13</v>
      </c>
      <c r="BJ55" s="24">
        <f t="shared" si="17"/>
        <v>953.0481271596407</v>
      </c>
      <c r="BK55" s="24"/>
      <c r="BL55" s="14">
        <f t="shared" si="18"/>
        <v>0</v>
      </c>
      <c r="BM55" s="2"/>
      <c r="BN55" s="2"/>
      <c r="BO55" s="2"/>
      <c r="BP55" s="42"/>
      <c r="BQ55" s="122">
        <v>47</v>
      </c>
      <c r="BR55" s="4" t="s">
        <v>82</v>
      </c>
      <c r="BS55" s="6">
        <v>13</v>
      </c>
      <c r="BT55" s="2">
        <f t="shared" si="31"/>
        <v>65.04812715964064</v>
      </c>
      <c r="BU55" s="2">
        <f>18.5*I55*4</f>
        <v>888</v>
      </c>
      <c r="BV55" s="2"/>
      <c r="BW55" s="24">
        <f t="shared" si="19"/>
        <v>0</v>
      </c>
      <c r="BX55" s="2"/>
      <c r="BY55" s="35">
        <f t="shared" si="20"/>
        <v>0</v>
      </c>
      <c r="BZ55" s="122">
        <v>47</v>
      </c>
      <c r="CA55" s="4" t="s">
        <v>82</v>
      </c>
      <c r="CB55" s="6">
        <v>13</v>
      </c>
      <c r="CC55" s="125">
        <f t="shared" si="1"/>
        <v>0</v>
      </c>
      <c r="CD55" s="112">
        <f t="shared" si="21"/>
        <v>0</v>
      </c>
      <c r="CE55" s="108">
        <f t="shared" si="22"/>
        <v>0</v>
      </c>
      <c r="CF55" s="108">
        <f t="shared" si="23"/>
        <v>0</v>
      </c>
      <c r="CG55" s="108">
        <f t="shared" si="24"/>
        <v>0</v>
      </c>
      <c r="CH55" s="113">
        <f t="shared" si="25"/>
        <v>0</v>
      </c>
      <c r="CI55" s="114">
        <f t="shared" si="26"/>
        <v>0</v>
      </c>
      <c r="CJ55" s="114">
        <f t="shared" si="27"/>
        <v>0</v>
      </c>
      <c r="CK55" s="115">
        <f t="shared" si="28"/>
        <v>0</v>
      </c>
      <c r="CL55" s="122">
        <v>47</v>
      </c>
      <c r="CM55" s="4" t="s">
        <v>82</v>
      </c>
      <c r="CN55" s="6">
        <v>13</v>
      </c>
      <c r="CO55" s="126">
        <v>7249.32</v>
      </c>
      <c r="CP55" s="127">
        <v>5333.14</v>
      </c>
      <c r="CQ55" s="128"/>
      <c r="CR55" s="122">
        <v>47</v>
      </c>
      <c r="CS55" s="4" t="s">
        <v>82</v>
      </c>
      <c r="CT55" s="6">
        <v>13</v>
      </c>
      <c r="CU55" s="129">
        <v>0</v>
      </c>
      <c r="CV55" s="130">
        <v>0</v>
      </c>
      <c r="CW55" s="130">
        <v>0</v>
      </c>
      <c r="CX55" s="12"/>
      <c r="CY55" s="8"/>
      <c r="CZ55" s="64"/>
      <c r="DA55" s="61"/>
      <c r="DB55" s="122">
        <v>47</v>
      </c>
      <c r="DC55" s="4" t="s">
        <v>82</v>
      </c>
      <c r="DD55" s="6">
        <v>13</v>
      </c>
      <c r="DE55" s="131">
        <v>0</v>
      </c>
      <c r="DF55" s="131">
        <v>0</v>
      </c>
      <c r="DG55" s="133">
        <v>0</v>
      </c>
      <c r="DH55" s="16"/>
      <c r="DI55" s="16"/>
      <c r="DJ55" s="16"/>
      <c r="DK55" s="16"/>
      <c r="DL55" s="16"/>
    </row>
    <row r="56" spans="1:116" ht="11.25" customHeight="1">
      <c r="A56" s="122">
        <v>48</v>
      </c>
      <c r="B56" s="4" t="s">
        <v>82</v>
      </c>
      <c r="C56" s="6">
        <v>15</v>
      </c>
      <c r="D56" s="43">
        <v>913.5</v>
      </c>
      <c r="E56" s="36">
        <v>1952</v>
      </c>
      <c r="F56" s="37">
        <v>2</v>
      </c>
      <c r="G56" s="37">
        <v>2</v>
      </c>
      <c r="H56" s="37"/>
      <c r="I56" s="37">
        <v>12</v>
      </c>
      <c r="J56" s="37"/>
      <c r="K56" s="38">
        <v>81.7</v>
      </c>
      <c r="L56" s="39">
        <f>295+209+120</f>
        <v>624</v>
      </c>
      <c r="M56" s="40">
        <v>0</v>
      </c>
      <c r="N56" s="40">
        <v>18</v>
      </c>
      <c r="O56" s="40">
        <v>2072</v>
      </c>
      <c r="P56" s="37"/>
      <c r="Q56" s="123" t="s">
        <v>73</v>
      </c>
      <c r="R56" s="122">
        <v>48</v>
      </c>
      <c r="S56" s="4" t="s">
        <v>82</v>
      </c>
      <c r="T56" s="6">
        <v>15</v>
      </c>
      <c r="U56" s="41" t="s">
        <v>52</v>
      </c>
      <c r="V56" s="40">
        <v>879</v>
      </c>
      <c r="W56" s="3">
        <v>13.85</v>
      </c>
      <c r="X56" s="3">
        <v>148042.14</v>
      </c>
      <c r="Y56" s="3">
        <v>155308.41</v>
      </c>
      <c r="Z56" s="3">
        <f t="shared" si="2"/>
        <v>104.9082443687993</v>
      </c>
      <c r="AA56" s="3">
        <f t="shared" si="29"/>
        <v>-138349.6447346135</v>
      </c>
      <c r="AB56" s="3">
        <f t="shared" si="3"/>
        <v>293658.0547346135</v>
      </c>
      <c r="AC56" s="107">
        <f t="shared" si="4"/>
        <v>248862.75824967248</v>
      </c>
      <c r="AD56" s="122">
        <v>48</v>
      </c>
      <c r="AE56" s="4" t="s">
        <v>82</v>
      </c>
      <c r="AF56" s="6">
        <v>15</v>
      </c>
      <c r="AG56" s="124">
        <f t="shared" si="5"/>
        <v>51441.51051905775</v>
      </c>
      <c r="AH56" s="124">
        <f>0.54*82.25/79.4</f>
        <v>0.559382871536524</v>
      </c>
      <c r="AI56" s="108">
        <f t="shared" si="6"/>
        <v>38577.763020151135</v>
      </c>
      <c r="AJ56" s="108">
        <f t="shared" si="30"/>
        <v>9301.067030392762</v>
      </c>
      <c r="AK56" s="124">
        <f t="shared" si="7"/>
        <v>47878.8300505439</v>
      </c>
      <c r="AL56" s="109">
        <f t="shared" si="8"/>
        <v>3562.680468513854</v>
      </c>
      <c r="AM56" s="122">
        <v>48</v>
      </c>
      <c r="AN56" s="4" t="s">
        <v>82</v>
      </c>
      <c r="AO56" s="6">
        <v>15</v>
      </c>
      <c r="AP56" s="2">
        <f t="shared" si="33"/>
        <v>112062.34404578988</v>
      </c>
      <c r="AQ56" s="2">
        <f>0.32+0.018</f>
        <v>0.338</v>
      </c>
      <c r="AR56" s="24">
        <f t="shared" si="10"/>
        <v>44530.450544707746</v>
      </c>
      <c r="AS56" s="24">
        <f t="shared" si="11"/>
        <v>12027.86968530806</v>
      </c>
      <c r="AT56" s="110">
        <v>40967.9</v>
      </c>
      <c r="AU56" s="60">
        <f t="shared" si="34"/>
        <v>736.4191236757937</v>
      </c>
      <c r="AV56" s="122">
        <v>48</v>
      </c>
      <c r="AW56" s="4" t="s">
        <v>82</v>
      </c>
      <c r="AX56" s="6">
        <v>15</v>
      </c>
      <c r="AY56" s="14">
        <f t="shared" si="12"/>
        <v>0</v>
      </c>
      <c r="AZ56" s="7"/>
      <c r="BA56" s="2"/>
      <c r="BB56" s="2"/>
      <c r="BC56" s="25">
        <f t="shared" si="13"/>
        <v>0.04884412446524106</v>
      </c>
      <c r="BD56" s="25">
        <f t="shared" si="14"/>
        <v>7842.41941791278</v>
      </c>
      <c r="BE56" s="24">
        <f t="shared" si="15"/>
        <v>2072.86245096448</v>
      </c>
      <c r="BF56" s="111">
        <f t="shared" si="16"/>
        <v>3884.4228232210176</v>
      </c>
      <c r="BG56" s="122">
        <v>48</v>
      </c>
      <c r="BH56" s="4" t="s">
        <v>82</v>
      </c>
      <c r="BI56" s="6">
        <v>15</v>
      </c>
      <c r="BJ56" s="24">
        <f t="shared" si="17"/>
        <v>4941.147755393076</v>
      </c>
      <c r="BK56" s="24"/>
      <c r="BL56" s="14">
        <f t="shared" si="18"/>
        <v>444.04708634845</v>
      </c>
      <c r="BM56" s="2"/>
      <c r="BN56" s="2"/>
      <c r="BO56" s="2"/>
      <c r="BP56" s="42"/>
      <c r="BQ56" s="122">
        <v>48</v>
      </c>
      <c r="BR56" s="4" t="s">
        <v>82</v>
      </c>
      <c r="BS56" s="6">
        <v>15</v>
      </c>
      <c r="BT56" s="2">
        <f t="shared" si="31"/>
        <v>65.04812715964064</v>
      </c>
      <c r="BU56" s="2">
        <f>18.5*I56*4</f>
        <v>888</v>
      </c>
      <c r="BV56" s="2"/>
      <c r="BW56" s="24">
        <f t="shared" si="19"/>
        <v>1556.922408275634</v>
      </c>
      <c r="BX56" s="2"/>
      <c r="BY56" s="35">
        <f t="shared" si="20"/>
        <v>1987.130133609351</v>
      </c>
      <c r="BZ56" s="122">
        <v>48</v>
      </c>
      <c r="CA56" s="4" t="s">
        <v>82</v>
      </c>
      <c r="CB56" s="6">
        <v>15</v>
      </c>
      <c r="CC56" s="125">
        <f t="shared" si="1"/>
        <v>45596.89211726264</v>
      </c>
      <c r="CD56" s="112">
        <f t="shared" si="21"/>
        <v>0.17139847312348225</v>
      </c>
      <c r="CE56" s="108">
        <f t="shared" si="22"/>
        <v>31989.293942103635</v>
      </c>
      <c r="CF56" s="108">
        <f t="shared" si="23"/>
        <v>8785.16044146514</v>
      </c>
      <c r="CG56" s="108">
        <f t="shared" si="24"/>
        <v>4822.4377336938705</v>
      </c>
      <c r="CH56" s="113">
        <f t="shared" si="25"/>
        <v>26228.21094230881</v>
      </c>
      <c r="CI56" s="114">
        <f t="shared" si="26"/>
        <v>2774.1667452664074</v>
      </c>
      <c r="CJ56" s="114">
        <f t="shared" si="27"/>
        <v>5619.331800128005</v>
      </c>
      <c r="CK56" s="115">
        <f t="shared" si="28"/>
        <v>199.1543244658535</v>
      </c>
      <c r="CL56" s="122">
        <v>48</v>
      </c>
      <c r="CM56" s="4" t="s">
        <v>82</v>
      </c>
      <c r="CN56" s="6">
        <v>15</v>
      </c>
      <c r="CO56" s="126">
        <v>45821.16</v>
      </c>
      <c r="CP56" s="127">
        <v>46139.58</v>
      </c>
      <c r="CQ56" s="128"/>
      <c r="CR56" s="122">
        <v>48</v>
      </c>
      <c r="CS56" s="4" t="s">
        <v>82</v>
      </c>
      <c r="CT56" s="6">
        <v>15</v>
      </c>
      <c r="CU56" s="119">
        <v>0</v>
      </c>
      <c r="CV56" s="130">
        <v>0</v>
      </c>
      <c r="CW56" s="130">
        <v>123.76</v>
      </c>
      <c r="CX56" s="12"/>
      <c r="CY56" s="8"/>
      <c r="CZ56" s="64"/>
      <c r="DA56" s="61"/>
      <c r="DB56" s="122">
        <v>48</v>
      </c>
      <c r="DC56" s="4" t="s">
        <v>82</v>
      </c>
      <c r="DD56" s="6">
        <v>15</v>
      </c>
      <c r="DE56" s="131">
        <v>0</v>
      </c>
      <c r="DF56" s="131">
        <v>0</v>
      </c>
      <c r="DG56" s="133">
        <v>0</v>
      </c>
      <c r="DH56" s="16"/>
      <c r="DI56" s="16"/>
      <c r="DJ56" s="16"/>
      <c r="DK56" s="16"/>
      <c r="DL56" s="16"/>
    </row>
    <row r="57" spans="1:116" ht="11.25" customHeight="1">
      <c r="A57" s="122">
        <v>49</v>
      </c>
      <c r="B57" s="4" t="s">
        <v>82</v>
      </c>
      <c r="C57" s="6" t="s">
        <v>84</v>
      </c>
      <c r="D57" s="43">
        <v>913.5</v>
      </c>
      <c r="E57" s="36">
        <v>1952</v>
      </c>
      <c r="F57" s="37">
        <v>2</v>
      </c>
      <c r="G57" s="37">
        <v>2</v>
      </c>
      <c r="H57" s="37"/>
      <c r="I57" s="37">
        <v>12</v>
      </c>
      <c r="J57" s="37"/>
      <c r="K57" s="38">
        <v>79.1</v>
      </c>
      <c r="L57" s="39">
        <f>84+87+143</f>
        <v>314</v>
      </c>
      <c r="M57" s="40">
        <v>0</v>
      </c>
      <c r="N57" s="40">
        <v>0</v>
      </c>
      <c r="O57" s="40">
        <v>775</v>
      </c>
      <c r="P57" s="37"/>
      <c r="Q57" s="123" t="s">
        <v>73</v>
      </c>
      <c r="R57" s="122">
        <v>49</v>
      </c>
      <c r="S57" s="4" t="s">
        <v>82</v>
      </c>
      <c r="T57" s="6" t="s">
        <v>84</v>
      </c>
      <c r="U57" s="41" t="s">
        <v>52</v>
      </c>
      <c r="V57" s="40">
        <v>877</v>
      </c>
      <c r="W57" s="3">
        <v>13.85</v>
      </c>
      <c r="X57" s="3">
        <v>148042.2</v>
      </c>
      <c r="Y57" s="3">
        <v>151501.46</v>
      </c>
      <c r="Z57" s="3">
        <f t="shared" si="2"/>
        <v>102.33667157067374</v>
      </c>
      <c r="AA57" s="3">
        <f t="shared" si="29"/>
        <v>-88095.330749479</v>
      </c>
      <c r="AB57" s="3">
        <f t="shared" si="3"/>
        <v>239596.790749479</v>
      </c>
      <c r="AC57" s="107">
        <f t="shared" si="4"/>
        <v>203048.12775379576</v>
      </c>
      <c r="AD57" s="122">
        <v>49</v>
      </c>
      <c r="AE57" s="4" t="s">
        <v>82</v>
      </c>
      <c r="AF57" s="6" t="s">
        <v>84</v>
      </c>
      <c r="AG57" s="124">
        <f t="shared" si="5"/>
        <v>26673.37582469661</v>
      </c>
      <c r="AH57" s="124">
        <f>0.28*82.25/79.4</f>
        <v>0.29005037783375315</v>
      </c>
      <c r="AI57" s="108">
        <f t="shared" si="6"/>
        <v>20003.284528967255</v>
      </c>
      <c r="AJ57" s="108">
        <f t="shared" si="30"/>
        <v>4822.775497240691</v>
      </c>
      <c r="AK57" s="124">
        <f t="shared" si="7"/>
        <v>24826.060026207946</v>
      </c>
      <c r="AL57" s="109">
        <f t="shared" si="8"/>
        <v>1847.315798488665</v>
      </c>
      <c r="AM57" s="122">
        <v>49</v>
      </c>
      <c r="AN57" s="4" t="s">
        <v>82</v>
      </c>
      <c r="AO57" s="6" t="s">
        <v>84</v>
      </c>
      <c r="AP57" s="2">
        <f t="shared" si="33"/>
        <v>91015.84824427431</v>
      </c>
      <c r="AQ57" s="2">
        <f>0.312+0.02</f>
        <v>0.332</v>
      </c>
      <c r="AR57" s="24">
        <f t="shared" si="10"/>
        <v>43739.96917409163</v>
      </c>
      <c r="AS57" s="24">
        <f t="shared" si="11"/>
        <v>11814.357205687207</v>
      </c>
      <c r="AT57" s="110">
        <v>3821.07</v>
      </c>
      <c r="AU57" s="60">
        <f t="shared" si="34"/>
        <v>724.9971723971934</v>
      </c>
      <c r="AV57" s="122">
        <v>49</v>
      </c>
      <c r="AW57" s="4" t="s">
        <v>82</v>
      </c>
      <c r="AX57" s="6" t="s">
        <v>84</v>
      </c>
      <c r="AY57" s="14">
        <f t="shared" si="12"/>
        <v>17115.75</v>
      </c>
      <c r="AZ57" s="7">
        <f>10598.17+755.13+5762.45</f>
        <v>17115.75</v>
      </c>
      <c r="BA57" s="2"/>
      <c r="BB57" s="2"/>
      <c r="BC57" s="25">
        <f t="shared" si="13"/>
        <v>0.04884412446524106</v>
      </c>
      <c r="BD57" s="25">
        <f t="shared" si="14"/>
        <v>7842.41941791278</v>
      </c>
      <c r="BE57" s="24">
        <f t="shared" si="15"/>
        <v>2072.86245096448</v>
      </c>
      <c r="BF57" s="111">
        <f t="shared" si="16"/>
        <v>3884.4228232210176</v>
      </c>
      <c r="BG57" s="122">
        <v>49</v>
      </c>
      <c r="BH57" s="4" t="s">
        <v>82</v>
      </c>
      <c r="BI57" s="6" t="s">
        <v>84</v>
      </c>
      <c r="BJ57" s="24">
        <f t="shared" si="17"/>
        <v>4941.147755393076</v>
      </c>
      <c r="BK57" s="24"/>
      <c r="BL57" s="14">
        <f t="shared" si="18"/>
        <v>444.04708634845</v>
      </c>
      <c r="BM57" s="2"/>
      <c r="BN57" s="2"/>
      <c r="BO57" s="2"/>
      <c r="BP57" s="42"/>
      <c r="BQ57" s="122">
        <v>49</v>
      </c>
      <c r="BR57" s="4" t="s">
        <v>82</v>
      </c>
      <c r="BS57" s="6" t="s">
        <v>84</v>
      </c>
      <c r="BT57" s="2">
        <f t="shared" si="31"/>
        <v>65.04812715964064</v>
      </c>
      <c r="BU57" s="2">
        <f>18.5*I57*4</f>
        <v>888</v>
      </c>
      <c r="BV57" s="2"/>
      <c r="BW57" s="24">
        <f t="shared" si="19"/>
        <v>1556.922408275634</v>
      </c>
      <c r="BX57" s="2"/>
      <c r="BY57" s="35">
        <f t="shared" si="20"/>
        <v>1987.130133609351</v>
      </c>
      <c r="BZ57" s="122">
        <v>49</v>
      </c>
      <c r="CA57" s="4" t="s">
        <v>82</v>
      </c>
      <c r="CB57" s="6" t="s">
        <v>84</v>
      </c>
      <c r="CC57" s="125">
        <f t="shared" si="1"/>
        <v>45596.89211726264</v>
      </c>
      <c r="CD57" s="112">
        <f t="shared" si="21"/>
        <v>0.17139847312348225</v>
      </c>
      <c r="CE57" s="108">
        <f t="shared" si="22"/>
        <v>31989.293942103635</v>
      </c>
      <c r="CF57" s="108">
        <f t="shared" si="23"/>
        <v>8785.16044146514</v>
      </c>
      <c r="CG57" s="108">
        <f t="shared" si="24"/>
        <v>4822.4377336938705</v>
      </c>
      <c r="CH57" s="113">
        <f t="shared" si="25"/>
        <v>26228.21094230881</v>
      </c>
      <c r="CI57" s="114">
        <f t="shared" si="26"/>
        <v>2774.1667452664074</v>
      </c>
      <c r="CJ57" s="114">
        <f t="shared" si="27"/>
        <v>5619.331800128005</v>
      </c>
      <c r="CK57" s="115">
        <f t="shared" si="28"/>
        <v>199.1543244658535</v>
      </c>
      <c r="CL57" s="122">
        <v>49</v>
      </c>
      <c r="CM57" s="4" t="s">
        <v>82</v>
      </c>
      <c r="CN57" s="6" t="s">
        <v>84</v>
      </c>
      <c r="CO57" s="126">
        <v>45821.22</v>
      </c>
      <c r="CP57" s="127">
        <v>40011.35</v>
      </c>
      <c r="CQ57" s="128"/>
      <c r="CR57" s="122">
        <v>49</v>
      </c>
      <c r="CS57" s="4" t="s">
        <v>82</v>
      </c>
      <c r="CT57" s="6" t="s">
        <v>84</v>
      </c>
      <c r="CU57" s="129">
        <v>0</v>
      </c>
      <c r="CV57" s="130">
        <v>0</v>
      </c>
      <c r="CW57" s="130">
        <v>217.09</v>
      </c>
      <c r="CX57" s="12"/>
      <c r="CY57" s="8"/>
      <c r="CZ57" s="64"/>
      <c r="DA57" s="61"/>
      <c r="DB57" s="122">
        <v>49</v>
      </c>
      <c r="DC57" s="4" t="s">
        <v>82</v>
      </c>
      <c r="DD57" s="6" t="s">
        <v>84</v>
      </c>
      <c r="DE57" s="131">
        <v>0</v>
      </c>
      <c r="DF57" s="131">
        <v>0</v>
      </c>
      <c r="DG57" s="133">
        <v>0</v>
      </c>
      <c r="DH57" s="16"/>
      <c r="DI57" s="16"/>
      <c r="DJ57" s="16"/>
      <c r="DK57" s="16"/>
      <c r="DL57" s="16"/>
    </row>
    <row r="58" spans="1:116" ht="11.25" customHeight="1">
      <c r="A58" s="122">
        <v>50</v>
      </c>
      <c r="B58" s="4" t="s">
        <v>82</v>
      </c>
      <c r="C58" s="6">
        <v>19</v>
      </c>
      <c r="D58" s="43">
        <v>5549.2</v>
      </c>
      <c r="E58" s="36">
        <v>1990</v>
      </c>
      <c r="F58" s="37">
        <v>2</v>
      </c>
      <c r="G58" s="37">
        <v>9</v>
      </c>
      <c r="H58" s="37">
        <v>2</v>
      </c>
      <c r="I58" s="37">
        <v>108</v>
      </c>
      <c r="J58" s="37"/>
      <c r="K58" s="38">
        <v>525.5</v>
      </c>
      <c r="L58" s="39">
        <f>511.2+458.6+969.8</f>
        <v>1939.6</v>
      </c>
      <c r="M58" s="40">
        <v>0</v>
      </c>
      <c r="N58" s="40">
        <v>0</v>
      </c>
      <c r="O58" s="40">
        <v>2726</v>
      </c>
      <c r="P58" s="37"/>
      <c r="Q58" s="123" t="s">
        <v>51</v>
      </c>
      <c r="R58" s="122">
        <v>50</v>
      </c>
      <c r="S58" s="4" t="s">
        <v>82</v>
      </c>
      <c r="T58" s="6">
        <v>19</v>
      </c>
      <c r="U58" s="41" t="s">
        <v>49</v>
      </c>
      <c r="V58" s="40">
        <v>1007</v>
      </c>
      <c r="W58" s="3">
        <v>26.34</v>
      </c>
      <c r="X58" s="3">
        <v>1710821.85</v>
      </c>
      <c r="Y58" s="3">
        <v>1683412.94</v>
      </c>
      <c r="Z58" s="3">
        <f t="shared" si="2"/>
        <v>98.39790975313998</v>
      </c>
      <c r="AA58" s="3">
        <f t="shared" si="29"/>
        <v>189397.31259686127</v>
      </c>
      <c r="AB58" s="3">
        <f t="shared" si="3"/>
        <v>1494015.6274031387</v>
      </c>
      <c r="AC58" s="107">
        <f t="shared" si="4"/>
        <v>1266114.9384772363</v>
      </c>
      <c r="AD58" s="122">
        <v>50</v>
      </c>
      <c r="AE58" s="4" t="s">
        <v>82</v>
      </c>
      <c r="AF58" s="6">
        <v>19</v>
      </c>
      <c r="AG58" s="124">
        <f t="shared" si="5"/>
        <v>135272.1202538185</v>
      </c>
      <c r="AH58" s="124">
        <f>1.42*82.25/79.4</f>
        <v>1.4709697732997478</v>
      </c>
      <c r="AI58" s="108">
        <f t="shared" si="6"/>
        <v>101445.22868261962</v>
      </c>
      <c r="AJ58" s="108">
        <f t="shared" si="30"/>
        <v>24458.361450292072</v>
      </c>
      <c r="AK58" s="124">
        <f t="shared" si="7"/>
        <v>125903.59013291169</v>
      </c>
      <c r="AL58" s="109">
        <f t="shared" si="8"/>
        <v>9368.530120906798</v>
      </c>
      <c r="AM58" s="122">
        <v>50</v>
      </c>
      <c r="AN58" s="4" t="s">
        <v>82</v>
      </c>
      <c r="AO58" s="6">
        <v>19</v>
      </c>
      <c r="AP58" s="2">
        <f t="shared" si="33"/>
        <v>405720.4567675554</v>
      </c>
      <c r="AQ58" s="2">
        <f>1.66+0.02</f>
        <v>1.6800000000000002</v>
      </c>
      <c r="AR58" s="24">
        <f t="shared" si="10"/>
        <v>221334.7837725119</v>
      </c>
      <c r="AS58" s="24">
        <f t="shared" si="11"/>
        <v>59783.494293838885</v>
      </c>
      <c r="AT58" s="110">
        <v>23614.73</v>
      </c>
      <c r="AU58" s="60">
        <f t="shared" si="34"/>
        <v>3762.98344954425</v>
      </c>
      <c r="AV58" s="122">
        <v>50</v>
      </c>
      <c r="AW58" s="4" t="s">
        <v>82</v>
      </c>
      <c r="AX58" s="6">
        <v>19</v>
      </c>
      <c r="AY58" s="14">
        <f t="shared" si="12"/>
        <v>13395.98</v>
      </c>
      <c r="AZ58" s="7">
        <v>13395.98</v>
      </c>
      <c r="BA58" s="2"/>
      <c r="BB58" s="2"/>
      <c r="BC58" s="25">
        <f t="shared" si="13"/>
        <v>0.29671134699782775</v>
      </c>
      <c r="BD58" s="25">
        <f t="shared" si="14"/>
        <v>47640.01514382222</v>
      </c>
      <c r="BE58" s="24">
        <f t="shared" si="15"/>
        <v>12591.930282312089</v>
      </c>
      <c r="BF58" s="111">
        <f t="shared" si="16"/>
        <v>23596.539825526077</v>
      </c>
      <c r="BG58" s="122">
        <v>50</v>
      </c>
      <c r="BH58" s="4" t="s">
        <v>82</v>
      </c>
      <c r="BI58" s="6">
        <v>19</v>
      </c>
      <c r="BJ58" s="24">
        <f t="shared" si="17"/>
        <v>236612.00436379624</v>
      </c>
      <c r="BK58" s="24"/>
      <c r="BL58" s="14">
        <f t="shared" si="18"/>
        <v>2697.434145117481</v>
      </c>
      <c r="BM58" s="2">
        <f>28000/37*2</f>
        <v>1513.5135135135135</v>
      </c>
      <c r="BN58" s="2">
        <f>141316.88/37*2</f>
        <v>7638.75027027027</v>
      </c>
      <c r="BO58" s="2">
        <f>35936.8/37*2</f>
        <v>1942.52972972973</v>
      </c>
      <c r="BP58" s="42">
        <f>3713050.58/37*2</f>
        <v>200705.43675675677</v>
      </c>
      <c r="BQ58" s="122">
        <v>50</v>
      </c>
      <c r="BR58" s="4" t="s">
        <v>82</v>
      </c>
      <c r="BS58" s="6">
        <v>19</v>
      </c>
      <c r="BT58" s="2">
        <f t="shared" si="31"/>
        <v>585.4331444367657</v>
      </c>
      <c r="BU58" s="2"/>
      <c r="BV58" s="2"/>
      <c r="BW58" s="24">
        <f t="shared" si="19"/>
        <v>9457.771021349916</v>
      </c>
      <c r="BX58" s="2"/>
      <c r="BY58" s="35">
        <f t="shared" si="20"/>
        <v>12071.135782621795</v>
      </c>
      <c r="BZ58" s="122">
        <v>50</v>
      </c>
      <c r="CA58" s="4" t="s">
        <v>82</v>
      </c>
      <c r="CB58" s="6">
        <v>19</v>
      </c>
      <c r="CC58" s="125">
        <f t="shared" si="1"/>
        <v>276985.52133236325</v>
      </c>
      <c r="CD58" s="112">
        <f t="shared" si="21"/>
        <v>1.0411870903741955</v>
      </c>
      <c r="CE58" s="108">
        <f t="shared" si="22"/>
        <v>194324.01745322548</v>
      </c>
      <c r="CF58" s="108">
        <f t="shared" si="23"/>
        <v>53366.84435881592</v>
      </c>
      <c r="CG58" s="108">
        <f t="shared" si="24"/>
        <v>29294.659520321868</v>
      </c>
      <c r="CH58" s="113">
        <f t="shared" si="25"/>
        <v>159327.40904330602</v>
      </c>
      <c r="CI58" s="114">
        <f t="shared" si="26"/>
        <v>16852.113960407605</v>
      </c>
      <c r="CJ58" s="114">
        <f t="shared" si="27"/>
        <v>34135.51836373325</v>
      </c>
      <c r="CK58" s="135">
        <f t="shared" si="28"/>
        <v>1209.7943922560637</v>
      </c>
      <c r="CL58" s="122">
        <v>50</v>
      </c>
      <c r="CM58" s="4" t="s">
        <v>82</v>
      </c>
      <c r="CN58" s="6">
        <v>19</v>
      </c>
      <c r="CO58" s="126">
        <v>278366.29</v>
      </c>
      <c r="CP58" s="127">
        <v>267647.84</v>
      </c>
      <c r="CQ58" s="128"/>
      <c r="CR58" s="122">
        <v>50</v>
      </c>
      <c r="CS58" s="4" t="s">
        <v>82</v>
      </c>
      <c r="CT58" s="6">
        <v>19</v>
      </c>
      <c r="CU58" s="129">
        <v>1.37</v>
      </c>
      <c r="CV58" s="130">
        <v>31590.96</v>
      </c>
      <c r="CW58" s="130">
        <v>34157.76</v>
      </c>
      <c r="CX58" s="12"/>
      <c r="CY58" s="8"/>
      <c r="CZ58" s="64"/>
      <c r="DA58" s="61"/>
      <c r="DB58" s="122">
        <v>50</v>
      </c>
      <c r="DC58" s="4" t="s">
        <v>82</v>
      </c>
      <c r="DD58" s="6">
        <v>19</v>
      </c>
      <c r="DE58" s="131">
        <v>1.31</v>
      </c>
      <c r="DF58" s="131">
        <v>23456.24</v>
      </c>
      <c r="DG58" s="133">
        <v>22466.62</v>
      </c>
      <c r="DH58" s="16"/>
      <c r="DI58" s="16"/>
      <c r="DJ58" s="16"/>
      <c r="DK58" s="16"/>
      <c r="DL58" s="16"/>
    </row>
    <row r="59" spans="1:116" ht="11.25" customHeight="1">
      <c r="A59" s="122">
        <v>51</v>
      </c>
      <c r="B59" s="4" t="s">
        <v>82</v>
      </c>
      <c r="C59" s="6">
        <v>61</v>
      </c>
      <c r="D59" s="43">
        <v>3904.6</v>
      </c>
      <c r="E59" s="36">
        <v>1982</v>
      </c>
      <c r="F59" s="37">
        <v>6</v>
      </c>
      <c r="G59" s="37">
        <v>5</v>
      </c>
      <c r="H59" s="37"/>
      <c r="I59" s="37">
        <v>90</v>
      </c>
      <c r="J59" s="37"/>
      <c r="K59" s="38">
        <v>521</v>
      </c>
      <c r="L59" s="39">
        <f>1542.2+96.6</f>
        <v>1638.8</v>
      </c>
      <c r="M59" s="40">
        <v>0</v>
      </c>
      <c r="N59" s="40">
        <v>0</v>
      </c>
      <c r="O59" s="40">
        <v>7378</v>
      </c>
      <c r="P59" s="37"/>
      <c r="Q59" s="123" t="s">
        <v>48</v>
      </c>
      <c r="R59" s="122">
        <v>51</v>
      </c>
      <c r="S59" s="4" t="s">
        <v>82</v>
      </c>
      <c r="T59" s="6">
        <v>61</v>
      </c>
      <c r="U59" s="41" t="s">
        <v>49</v>
      </c>
      <c r="V59" s="40">
        <v>1094</v>
      </c>
      <c r="W59" s="3">
        <v>20.6</v>
      </c>
      <c r="X59" s="3">
        <v>938303.98</v>
      </c>
      <c r="Y59" s="3">
        <v>944095.7</v>
      </c>
      <c r="Z59" s="3">
        <f t="shared" si="2"/>
        <v>100.61725412269912</v>
      </c>
      <c r="AA59" s="3">
        <f t="shared" si="29"/>
        <v>-6404.006688273163</v>
      </c>
      <c r="AB59" s="3">
        <f t="shared" si="3"/>
        <v>950499.7066882731</v>
      </c>
      <c r="AC59" s="107">
        <f t="shared" si="4"/>
        <v>805508.2260070111</v>
      </c>
      <c r="AD59" s="122">
        <v>51</v>
      </c>
      <c r="AE59" s="4" t="s">
        <v>82</v>
      </c>
      <c r="AF59" s="6">
        <v>61</v>
      </c>
      <c r="AG59" s="124">
        <f t="shared" si="5"/>
        <v>193381.97472905036</v>
      </c>
      <c r="AH59" s="124">
        <f>2.03*82.25/79.4</f>
        <v>2.10286523929471</v>
      </c>
      <c r="AI59" s="108">
        <f t="shared" si="6"/>
        <v>145023.81283501256</v>
      </c>
      <c r="AJ59" s="108">
        <f t="shared" si="30"/>
        <v>34965.122354995</v>
      </c>
      <c r="AK59" s="124">
        <f t="shared" si="7"/>
        <v>179988.93519000756</v>
      </c>
      <c r="AL59" s="109">
        <f t="shared" si="8"/>
        <v>13393.039539042817</v>
      </c>
      <c r="AM59" s="122">
        <v>51</v>
      </c>
      <c r="AN59" s="4" t="s">
        <v>82</v>
      </c>
      <c r="AO59" s="6">
        <v>61</v>
      </c>
      <c r="AP59" s="2">
        <f t="shared" si="33"/>
        <v>250859.95177969933</v>
      </c>
      <c r="AQ59" s="2">
        <f>0.922+0.018</f>
        <v>0.9400000000000001</v>
      </c>
      <c r="AR59" s="24">
        <f t="shared" si="10"/>
        <v>123842.0813965245</v>
      </c>
      <c r="AS59" s="24">
        <f t="shared" si="11"/>
        <v>33450.28847393366</v>
      </c>
      <c r="AT59" s="110">
        <v>32396.22</v>
      </c>
      <c r="AU59" s="60">
        <f t="shared" si="34"/>
        <v>2186.877026080906</v>
      </c>
      <c r="AV59" s="122">
        <v>51</v>
      </c>
      <c r="AW59" s="4" t="s">
        <v>82</v>
      </c>
      <c r="AX59" s="6">
        <v>61</v>
      </c>
      <c r="AY59" s="14">
        <f t="shared" si="12"/>
        <v>0</v>
      </c>
      <c r="AZ59" s="2"/>
      <c r="BA59" s="2"/>
      <c r="BB59" s="2"/>
      <c r="BC59" s="25">
        <f t="shared" si="13"/>
        <v>0.20877588219702267</v>
      </c>
      <c r="BD59" s="25">
        <f t="shared" si="14"/>
        <v>33521.08468438121</v>
      </c>
      <c r="BE59" s="24">
        <f t="shared" si="15"/>
        <v>8860.097127570782</v>
      </c>
      <c r="BF59" s="111">
        <f t="shared" si="16"/>
        <v>16603.303071208302</v>
      </c>
      <c r="BG59" s="122">
        <v>51</v>
      </c>
      <c r="BH59" s="4" t="s">
        <v>82</v>
      </c>
      <c r="BI59" s="6">
        <v>61</v>
      </c>
      <c r="BJ59" s="24">
        <f t="shared" si="17"/>
        <v>17534.31285123455</v>
      </c>
      <c r="BK59" s="24"/>
      <c r="BL59" s="14">
        <f t="shared" si="18"/>
        <v>1898.003561418892</v>
      </c>
      <c r="BM59" s="2"/>
      <c r="BN59" s="2"/>
      <c r="BO59" s="2"/>
      <c r="BP59" s="42"/>
      <c r="BQ59" s="122">
        <v>51</v>
      </c>
      <c r="BR59" s="4" t="s">
        <v>82</v>
      </c>
      <c r="BS59" s="6">
        <v>61</v>
      </c>
      <c r="BT59" s="2">
        <f t="shared" si="31"/>
        <v>487.8609536973048</v>
      </c>
      <c r="BU59" s="2"/>
      <c r="BV59" s="2"/>
      <c r="BW59" s="24">
        <f t="shared" si="19"/>
        <v>6654.799381886197</v>
      </c>
      <c r="BX59" s="2"/>
      <c r="BY59" s="35">
        <f t="shared" si="20"/>
        <v>8493.648954232154</v>
      </c>
      <c r="BZ59" s="122">
        <v>51</v>
      </c>
      <c r="CA59" s="4" t="s">
        <v>82</v>
      </c>
      <c r="CB59" s="6">
        <v>61</v>
      </c>
      <c r="CC59" s="125">
        <f t="shared" si="1"/>
        <v>194896.14117248356</v>
      </c>
      <c r="CD59" s="112">
        <f t="shared" si="21"/>
        <v>0.7326135502550069</v>
      </c>
      <c r="CE59" s="108">
        <f t="shared" si="22"/>
        <v>136732.78284218704</v>
      </c>
      <c r="CF59" s="108">
        <f t="shared" si="23"/>
        <v>37550.67045401728</v>
      </c>
      <c r="CG59" s="108">
        <f t="shared" si="24"/>
        <v>20612.687876279244</v>
      </c>
      <c r="CH59" s="113">
        <f t="shared" si="25"/>
        <v>112108.01581317896</v>
      </c>
      <c r="CI59" s="114">
        <f t="shared" si="26"/>
        <v>11857.702762525685</v>
      </c>
      <c r="CJ59" s="114">
        <f t="shared" si="27"/>
        <v>24018.87569434024</v>
      </c>
      <c r="CK59" s="115">
        <f t="shared" si="28"/>
        <v>851.2512044984911</v>
      </c>
      <c r="CL59" s="122">
        <v>51</v>
      </c>
      <c r="CM59" s="4" t="s">
        <v>82</v>
      </c>
      <c r="CN59" s="6">
        <v>61</v>
      </c>
      <c r="CO59" s="126">
        <v>195860.34</v>
      </c>
      <c r="CP59" s="127">
        <v>218983.25</v>
      </c>
      <c r="CQ59" s="128"/>
      <c r="CR59" s="122">
        <v>51</v>
      </c>
      <c r="CS59" s="4" t="s">
        <v>82</v>
      </c>
      <c r="CT59" s="6">
        <v>61</v>
      </c>
      <c r="CU59" s="129">
        <v>1.37</v>
      </c>
      <c r="CV59" s="130">
        <v>22656.91</v>
      </c>
      <c r="CW59" s="130">
        <v>25741.35</v>
      </c>
      <c r="CX59" s="12"/>
      <c r="CY59" s="48"/>
      <c r="CZ59" s="65"/>
      <c r="DA59" s="61"/>
      <c r="DB59" s="122">
        <v>51</v>
      </c>
      <c r="DC59" s="4" t="s">
        <v>82</v>
      </c>
      <c r="DD59" s="6">
        <v>61</v>
      </c>
      <c r="DE59" s="131">
        <v>1.17</v>
      </c>
      <c r="DF59" s="131">
        <v>12738.66</v>
      </c>
      <c r="DG59" s="133">
        <v>13475.11</v>
      </c>
      <c r="DH59" s="16"/>
      <c r="DI59" s="16"/>
      <c r="DJ59" s="16"/>
      <c r="DK59" s="16"/>
      <c r="DL59" s="16"/>
    </row>
    <row r="60" spans="1:116" ht="11.25" customHeight="1">
      <c r="A60" s="122">
        <v>52</v>
      </c>
      <c r="B60" s="4" t="s">
        <v>82</v>
      </c>
      <c r="C60" s="6" t="s">
        <v>85</v>
      </c>
      <c r="D60" s="43">
        <v>3970.16</v>
      </c>
      <c r="E60" s="36">
        <v>1987</v>
      </c>
      <c r="F60" s="37">
        <v>6</v>
      </c>
      <c r="G60" s="37">
        <v>5</v>
      </c>
      <c r="H60" s="37"/>
      <c r="I60" s="37">
        <v>90</v>
      </c>
      <c r="J60" s="37"/>
      <c r="K60" s="38">
        <v>517</v>
      </c>
      <c r="L60" s="39">
        <f>1011.4+88.2</f>
        <v>1099.6</v>
      </c>
      <c r="M60" s="40">
        <v>243.3</v>
      </c>
      <c r="N60" s="40">
        <v>1750</v>
      </c>
      <c r="O60" s="40">
        <v>2021</v>
      </c>
      <c r="P60" s="37"/>
      <c r="Q60" s="123" t="s">
        <v>48</v>
      </c>
      <c r="R60" s="122">
        <v>52</v>
      </c>
      <c r="S60" s="4" t="s">
        <v>82</v>
      </c>
      <c r="T60" s="6" t="s">
        <v>85</v>
      </c>
      <c r="U60" s="41" t="s">
        <v>49</v>
      </c>
      <c r="V60" s="40">
        <v>1095</v>
      </c>
      <c r="W60" s="3">
        <v>20.6</v>
      </c>
      <c r="X60" s="3">
        <v>954032.18</v>
      </c>
      <c r="Y60" s="3">
        <v>930774.43</v>
      </c>
      <c r="Z60" s="3">
        <f t="shared" si="2"/>
        <v>97.56216294506963</v>
      </c>
      <c r="AA60" s="3">
        <f t="shared" si="29"/>
        <v>3571.2971655379515</v>
      </c>
      <c r="AB60" s="3">
        <f t="shared" si="3"/>
        <v>927203.1328344621</v>
      </c>
      <c r="AC60" s="107">
        <f t="shared" si="4"/>
        <v>785765.3668088663</v>
      </c>
      <c r="AD60" s="122">
        <v>52</v>
      </c>
      <c r="AE60" s="4" t="s">
        <v>82</v>
      </c>
      <c r="AF60" s="6" t="s">
        <v>85</v>
      </c>
      <c r="AG60" s="124">
        <f t="shared" si="5"/>
        <v>194334.59529421813</v>
      </c>
      <c r="AH60" s="124">
        <f>2.04*82.25/79.4</f>
        <v>2.1132241813602013</v>
      </c>
      <c r="AI60" s="108">
        <f t="shared" si="6"/>
        <v>145738.21585390426</v>
      </c>
      <c r="AJ60" s="108">
        <f t="shared" si="30"/>
        <v>35137.36433703932</v>
      </c>
      <c r="AK60" s="124">
        <f t="shared" si="7"/>
        <v>180875.58019094358</v>
      </c>
      <c r="AL60" s="109">
        <f t="shared" si="8"/>
        <v>13459.015103274558</v>
      </c>
      <c r="AM60" s="122">
        <v>52</v>
      </c>
      <c r="AN60" s="4" t="s">
        <v>82</v>
      </c>
      <c r="AO60" s="6" t="s">
        <v>85</v>
      </c>
      <c r="AP60" s="2">
        <f t="shared" si="33"/>
        <v>224106.83885780923</v>
      </c>
      <c r="AQ60" s="2">
        <f>0.93+0.018</f>
        <v>0.9480000000000001</v>
      </c>
      <c r="AR60" s="24">
        <f t="shared" si="10"/>
        <v>124896.05655734599</v>
      </c>
      <c r="AS60" s="24">
        <f t="shared" si="11"/>
        <v>33734.9717800948</v>
      </c>
      <c r="AT60" s="110">
        <v>3292.17</v>
      </c>
      <c r="AU60" s="60">
        <f t="shared" si="34"/>
        <v>2208.7794581013877</v>
      </c>
      <c r="AV60" s="122">
        <v>52</v>
      </c>
      <c r="AW60" s="4" t="s">
        <v>82</v>
      </c>
      <c r="AX60" s="6" t="s">
        <v>85</v>
      </c>
      <c r="AY60" s="14">
        <f t="shared" si="12"/>
        <v>0</v>
      </c>
      <c r="AZ60" s="7"/>
      <c r="BA60" s="2"/>
      <c r="BB60" s="2"/>
      <c r="BC60" s="25">
        <f t="shared" si="13"/>
        <v>0.21228132368573774</v>
      </c>
      <c r="BD60" s="25">
        <f t="shared" si="14"/>
        <v>34083.91885738435</v>
      </c>
      <c r="BE60" s="24">
        <f t="shared" si="15"/>
        <v>9008.862165649853</v>
      </c>
      <c r="BF60" s="111">
        <f t="shared" si="16"/>
        <v>16882.08003923279</v>
      </c>
      <c r="BG60" s="122">
        <v>52</v>
      </c>
      <c r="BH60" s="4" t="s">
        <v>82</v>
      </c>
      <c r="BI60" s="6" t="s">
        <v>85</v>
      </c>
      <c r="BJ60" s="24">
        <f t="shared" si="17"/>
        <v>17820.53048848357</v>
      </c>
      <c r="BK60" s="24"/>
      <c r="BL60" s="14">
        <f t="shared" si="18"/>
        <v>1929.8718996575394</v>
      </c>
      <c r="BM60" s="2"/>
      <c r="BN60" s="2"/>
      <c r="BO60" s="2"/>
      <c r="BP60" s="42"/>
      <c r="BQ60" s="122">
        <v>52</v>
      </c>
      <c r="BR60" s="4" t="s">
        <v>82</v>
      </c>
      <c r="BS60" s="6" t="s">
        <v>85</v>
      </c>
      <c r="BT60" s="2">
        <f t="shared" si="31"/>
        <v>487.8609536973048</v>
      </c>
      <c r="BU60" s="2"/>
      <c r="BV60" s="2"/>
      <c r="BW60" s="24">
        <f t="shared" si="19"/>
        <v>6766.53647338762</v>
      </c>
      <c r="BX60" s="2"/>
      <c r="BY60" s="35">
        <f t="shared" si="20"/>
        <v>8636.261161741108</v>
      </c>
      <c r="BZ60" s="122">
        <v>52</v>
      </c>
      <c r="CA60" s="4" t="s">
        <v>82</v>
      </c>
      <c r="CB60" s="6" t="s">
        <v>85</v>
      </c>
      <c r="CC60" s="125">
        <f t="shared" si="1"/>
        <v>198168.5355317695</v>
      </c>
      <c r="CD60" s="112">
        <f t="shared" si="21"/>
        <v>0.744914463115407</v>
      </c>
      <c r="CE60" s="108">
        <f t="shared" si="22"/>
        <v>139028.5881085738</v>
      </c>
      <c r="CF60" s="108">
        <f t="shared" si="23"/>
        <v>38181.163194622044</v>
      </c>
      <c r="CG60" s="108">
        <f t="shared" si="24"/>
        <v>20958.784228573684</v>
      </c>
      <c r="CH60" s="113">
        <f t="shared" si="25"/>
        <v>113990.36010368555</v>
      </c>
      <c r="CI60" s="114">
        <f t="shared" si="26"/>
        <v>12056.798954993847</v>
      </c>
      <c r="CJ60" s="114">
        <f t="shared" si="27"/>
        <v>24422.16348067455</v>
      </c>
      <c r="CK60" s="115">
        <f t="shared" si="28"/>
        <v>865.5440972319135</v>
      </c>
      <c r="CL60" s="122">
        <v>52</v>
      </c>
      <c r="CM60" s="4" t="s">
        <v>82</v>
      </c>
      <c r="CN60" s="6" t="s">
        <v>85</v>
      </c>
      <c r="CO60" s="126">
        <v>199143.75</v>
      </c>
      <c r="CP60" s="127">
        <v>193199.82</v>
      </c>
      <c r="CQ60" s="128"/>
      <c r="CR60" s="122">
        <v>52</v>
      </c>
      <c r="CS60" s="4" t="s">
        <v>82</v>
      </c>
      <c r="CT60" s="6" t="s">
        <v>85</v>
      </c>
      <c r="CU60" s="129">
        <v>1.37</v>
      </c>
      <c r="CV60" s="130">
        <v>22418.46</v>
      </c>
      <c r="CW60" s="130">
        <v>23211.13</v>
      </c>
      <c r="CX60" s="12"/>
      <c r="CY60" s="8"/>
      <c r="CZ60" s="64"/>
      <c r="DA60" s="61"/>
      <c r="DB60" s="122">
        <v>52</v>
      </c>
      <c r="DC60" s="4" t="s">
        <v>82</v>
      </c>
      <c r="DD60" s="6" t="s">
        <v>85</v>
      </c>
      <c r="DE60" s="131">
        <v>1.17</v>
      </c>
      <c r="DF60" s="131">
        <v>14252.97</v>
      </c>
      <c r="DG60" s="133">
        <v>13989.44</v>
      </c>
      <c r="DH60" s="16"/>
      <c r="DI60" s="16"/>
      <c r="DJ60" s="16"/>
      <c r="DK60" s="16"/>
      <c r="DL60" s="16"/>
    </row>
    <row r="61" spans="1:116" ht="11.25" customHeight="1">
      <c r="A61" s="122">
        <v>53</v>
      </c>
      <c r="B61" s="4" t="s">
        <v>82</v>
      </c>
      <c r="C61" s="6" t="s">
        <v>86</v>
      </c>
      <c r="D61" s="2">
        <v>4359.3</v>
      </c>
      <c r="E61" s="36">
        <v>1995</v>
      </c>
      <c r="F61" s="37">
        <v>4</v>
      </c>
      <c r="G61" s="37">
        <v>5</v>
      </c>
      <c r="H61" s="37"/>
      <c r="I61" s="37">
        <v>80</v>
      </c>
      <c r="J61" s="37"/>
      <c r="K61" s="38">
        <v>496.3</v>
      </c>
      <c r="L61" s="39">
        <f>1325.1+78.4</f>
        <v>1403.5</v>
      </c>
      <c r="M61" s="40">
        <v>837.6</v>
      </c>
      <c r="N61" s="40">
        <v>820</v>
      </c>
      <c r="O61" s="40">
        <v>5924</v>
      </c>
      <c r="P61" s="37"/>
      <c r="Q61" s="123" t="s">
        <v>48</v>
      </c>
      <c r="R61" s="122">
        <v>53</v>
      </c>
      <c r="S61" s="4" t="s">
        <v>82</v>
      </c>
      <c r="T61" s="6" t="s">
        <v>86</v>
      </c>
      <c r="U61" s="41" t="s">
        <v>49</v>
      </c>
      <c r="V61" s="40">
        <v>1136.5</v>
      </c>
      <c r="W61" s="3">
        <v>20.6</v>
      </c>
      <c r="X61" s="3">
        <v>1047410.64</v>
      </c>
      <c r="Y61" s="3">
        <v>1070940.43</v>
      </c>
      <c r="Z61" s="3">
        <f t="shared" si="2"/>
        <v>102.24647231003878</v>
      </c>
      <c r="AA61" s="3">
        <f t="shared" si="29"/>
        <v>12250.669509387342</v>
      </c>
      <c r="AB61" s="3">
        <f t="shared" si="3"/>
        <v>1058689.7604906126</v>
      </c>
      <c r="AC61" s="107">
        <f t="shared" si="4"/>
        <v>897194.7122801802</v>
      </c>
      <c r="AD61" s="122">
        <v>53</v>
      </c>
      <c r="AE61" s="4" t="s">
        <v>82</v>
      </c>
      <c r="AF61" s="6" t="s">
        <v>86</v>
      </c>
      <c r="AG61" s="124">
        <f t="shared" si="5"/>
        <v>227676.31507508893</v>
      </c>
      <c r="AH61" s="124">
        <f>2.39*82.25/79.4</f>
        <v>2.475787153652393</v>
      </c>
      <c r="AI61" s="108">
        <f t="shared" si="6"/>
        <v>170742.32151511335</v>
      </c>
      <c r="AJ61" s="108">
        <f t="shared" si="30"/>
        <v>41165.83370859019</v>
      </c>
      <c r="AK61" s="124">
        <f t="shared" si="7"/>
        <v>211908.15522370354</v>
      </c>
      <c r="AL61" s="109">
        <f t="shared" si="8"/>
        <v>15768.15985138539</v>
      </c>
      <c r="AM61" s="122">
        <v>53</v>
      </c>
      <c r="AN61" s="4" t="s">
        <v>82</v>
      </c>
      <c r="AO61" s="6" t="s">
        <v>86</v>
      </c>
      <c r="AP61" s="2">
        <f t="shared" si="33"/>
        <v>266292.7932347225</v>
      </c>
      <c r="AQ61" s="2">
        <f>0.961+0.02</f>
        <v>0.981</v>
      </c>
      <c r="AR61" s="24">
        <f t="shared" si="10"/>
        <v>129243.7040957346</v>
      </c>
      <c r="AS61" s="24">
        <f t="shared" si="11"/>
        <v>34909.290418009485</v>
      </c>
      <c r="AT61" s="110">
        <v>33975.22</v>
      </c>
      <c r="AU61" s="60">
        <f t="shared" si="34"/>
        <v>2311.2096303773974</v>
      </c>
      <c r="AV61" s="122">
        <v>53</v>
      </c>
      <c r="AW61" s="4" t="s">
        <v>82</v>
      </c>
      <c r="AX61" s="6" t="s">
        <v>86</v>
      </c>
      <c r="AY61" s="14">
        <f t="shared" si="12"/>
        <v>0</v>
      </c>
      <c r="AZ61" s="7"/>
      <c r="BA61" s="2"/>
      <c r="BB61" s="2"/>
      <c r="BC61" s="25">
        <f t="shared" si="13"/>
        <v>0.23308833254660682</v>
      </c>
      <c r="BD61" s="25">
        <f t="shared" si="14"/>
        <v>37424.69509415127</v>
      </c>
      <c r="BE61" s="24">
        <f t="shared" si="15"/>
        <v>9891.876609183864</v>
      </c>
      <c r="BF61" s="111">
        <f t="shared" si="16"/>
        <v>18536.79738726588</v>
      </c>
      <c r="BG61" s="122">
        <v>53</v>
      </c>
      <c r="BH61" s="4" t="s">
        <v>82</v>
      </c>
      <c r="BI61" s="6" t="s">
        <v>86</v>
      </c>
      <c r="BJ61" s="24">
        <f t="shared" si="17"/>
        <v>19465.206134384483</v>
      </c>
      <c r="BK61" s="24"/>
      <c r="BL61" s="14">
        <f t="shared" si="18"/>
        <v>2119.0306114053624</v>
      </c>
      <c r="BM61" s="2"/>
      <c r="BN61" s="2"/>
      <c r="BO61" s="2"/>
      <c r="BP61" s="42"/>
      <c r="BQ61" s="122">
        <v>53</v>
      </c>
      <c r="BR61" s="4" t="s">
        <v>82</v>
      </c>
      <c r="BS61" s="6" t="s">
        <v>86</v>
      </c>
      <c r="BT61" s="2">
        <f t="shared" si="31"/>
        <v>433.6541810642709</v>
      </c>
      <c r="BU61" s="2"/>
      <c r="BV61" s="2"/>
      <c r="BW61" s="24">
        <f t="shared" si="19"/>
        <v>7429.766671478897</v>
      </c>
      <c r="BX61" s="2"/>
      <c r="BY61" s="35">
        <f t="shared" si="20"/>
        <v>9482.754670435956</v>
      </c>
      <c r="BZ61" s="122">
        <v>53</v>
      </c>
      <c r="CA61" s="4" t="s">
        <v>82</v>
      </c>
      <c r="CB61" s="6" t="s">
        <v>86</v>
      </c>
      <c r="CC61" s="125">
        <f t="shared" si="1"/>
        <v>217592.26251426717</v>
      </c>
      <c r="CD61" s="112">
        <f t="shared" si="21"/>
        <v>0.8179281487544567</v>
      </c>
      <c r="CE61" s="108">
        <f t="shared" si="22"/>
        <v>152655.64212568407</v>
      </c>
      <c r="CF61" s="108">
        <f t="shared" si="23"/>
        <v>41923.53575531361</v>
      </c>
      <c r="CG61" s="108">
        <f t="shared" si="24"/>
        <v>23013.084633269507</v>
      </c>
      <c r="CH61" s="113">
        <f t="shared" si="25"/>
        <v>125163.26213553017</v>
      </c>
      <c r="CI61" s="114">
        <f t="shared" si="26"/>
        <v>13238.560583075916</v>
      </c>
      <c r="CJ61" s="114">
        <f t="shared" si="27"/>
        <v>26815.93116179312</v>
      </c>
      <c r="CK61" s="115">
        <f t="shared" si="28"/>
        <v>950.3814413180024</v>
      </c>
      <c r="CL61" s="122">
        <v>53</v>
      </c>
      <c r="CM61" s="4" t="s">
        <v>82</v>
      </c>
      <c r="CN61" s="6" t="s">
        <v>86</v>
      </c>
      <c r="CO61" s="126">
        <v>218636.28</v>
      </c>
      <c r="CP61" s="127">
        <v>216082.48</v>
      </c>
      <c r="CQ61" s="128"/>
      <c r="CR61" s="122">
        <v>53</v>
      </c>
      <c r="CS61" s="4" t="s">
        <v>82</v>
      </c>
      <c r="CT61" s="6" t="s">
        <v>86</v>
      </c>
      <c r="CU61" s="129">
        <v>1.37</v>
      </c>
      <c r="CV61" s="130">
        <v>24227.21</v>
      </c>
      <c r="CW61" s="130">
        <v>26693.43</v>
      </c>
      <c r="CX61" s="12"/>
      <c r="CY61" s="8"/>
      <c r="CZ61" s="64"/>
      <c r="DA61" s="61"/>
      <c r="DB61" s="122">
        <v>53</v>
      </c>
      <c r="DC61" s="4" t="s">
        <v>82</v>
      </c>
      <c r="DD61" s="6" t="s">
        <v>86</v>
      </c>
      <c r="DE61" s="131">
        <v>1.17</v>
      </c>
      <c r="DF61" s="131">
        <v>18201.25</v>
      </c>
      <c r="DG61" s="133">
        <v>18743.2</v>
      </c>
      <c r="DH61" s="16"/>
      <c r="DI61" s="16"/>
      <c r="DJ61" s="16"/>
      <c r="DK61" s="16"/>
      <c r="DL61" s="16"/>
    </row>
    <row r="62" spans="1:116" ht="11.25" customHeight="1">
      <c r="A62" s="122">
        <v>54</v>
      </c>
      <c r="B62" s="4" t="s">
        <v>87</v>
      </c>
      <c r="C62" s="6">
        <v>14</v>
      </c>
      <c r="D62" s="43">
        <v>549.5</v>
      </c>
      <c r="E62" s="36">
        <v>1952</v>
      </c>
      <c r="F62" s="37">
        <v>1</v>
      </c>
      <c r="G62" s="37">
        <v>2</v>
      </c>
      <c r="H62" s="37"/>
      <c r="I62" s="37">
        <v>8</v>
      </c>
      <c r="J62" s="37"/>
      <c r="K62" s="38">
        <v>54.8</v>
      </c>
      <c r="L62" s="39">
        <f>238+271+35</f>
        <v>544</v>
      </c>
      <c r="M62" s="40">
        <v>0</v>
      </c>
      <c r="N62" s="40">
        <v>0</v>
      </c>
      <c r="O62" s="40">
        <v>1567</v>
      </c>
      <c r="P62" s="37"/>
      <c r="Q62" s="123" t="s">
        <v>73</v>
      </c>
      <c r="R62" s="122">
        <v>54</v>
      </c>
      <c r="S62" s="4" t="s">
        <v>87</v>
      </c>
      <c r="T62" s="6">
        <v>14</v>
      </c>
      <c r="U62" s="41" t="s">
        <v>52</v>
      </c>
      <c r="V62" s="40">
        <v>400</v>
      </c>
      <c r="W62" s="3">
        <v>13.85</v>
      </c>
      <c r="X62" s="3">
        <v>89052.18</v>
      </c>
      <c r="Y62" s="3">
        <v>78110.18</v>
      </c>
      <c r="Z62" s="3">
        <f>Y62/X62*100</f>
        <v>87.71282185343469</v>
      </c>
      <c r="AA62" s="3">
        <f t="shared" si="29"/>
        <v>-62615.98765814118</v>
      </c>
      <c r="AB62" s="3">
        <f t="shared" si="3"/>
        <v>140726.16765814117</v>
      </c>
      <c r="AC62" s="107">
        <f t="shared" si="4"/>
        <v>119259.4641170688</v>
      </c>
      <c r="AD62" s="122">
        <v>54</v>
      </c>
      <c r="AE62" s="4" t="s">
        <v>87</v>
      </c>
      <c r="AF62" s="6">
        <v>14</v>
      </c>
      <c r="AG62" s="124">
        <f t="shared" si="5"/>
        <v>40962.68430221264</v>
      </c>
      <c r="AH62" s="124">
        <f>0.43*82.25/79.4</f>
        <v>0.44543450881612084</v>
      </c>
      <c r="AI62" s="108">
        <f t="shared" si="6"/>
        <v>30719.329812342563</v>
      </c>
      <c r="AJ62" s="108">
        <f t="shared" si="30"/>
        <v>7406.405227905346</v>
      </c>
      <c r="AK62" s="124">
        <f t="shared" si="7"/>
        <v>38125.735040247906</v>
      </c>
      <c r="AL62" s="109">
        <f t="shared" si="8"/>
        <v>2836.949261964735</v>
      </c>
      <c r="AM62" s="122">
        <v>54</v>
      </c>
      <c r="AN62" s="4" t="s">
        <v>87</v>
      </c>
      <c r="AO62" s="6">
        <v>14</v>
      </c>
      <c r="AP62" s="2">
        <f t="shared" si="33"/>
        <v>24231.76342911208</v>
      </c>
      <c r="AQ62" s="2">
        <f>0.054+0.018</f>
        <v>0.07200000000000001</v>
      </c>
      <c r="AR62" s="24">
        <f t="shared" si="10"/>
        <v>9485.776447393368</v>
      </c>
      <c r="AS62" s="24">
        <f t="shared" si="11"/>
        <v>2562.149755450238</v>
      </c>
      <c r="AT62" s="110">
        <v>3689.87</v>
      </c>
      <c r="AU62" s="60">
        <f t="shared" si="34"/>
        <v>192.99543830131032</v>
      </c>
      <c r="AV62" s="122">
        <v>54</v>
      </c>
      <c r="AW62" s="4" t="s">
        <v>87</v>
      </c>
      <c r="AX62" s="6">
        <v>14</v>
      </c>
      <c r="AY62" s="14">
        <f t="shared" si="12"/>
        <v>0</v>
      </c>
      <c r="AZ62" s="2"/>
      <c r="BA62" s="2"/>
      <c r="BB62" s="2"/>
      <c r="BC62" s="25">
        <f t="shared" si="13"/>
        <v>0.029381331574876803</v>
      </c>
      <c r="BD62" s="25">
        <f t="shared" si="14"/>
        <v>4717.470684338338</v>
      </c>
      <c r="BE62" s="24">
        <f t="shared" si="15"/>
        <v>1246.8942712698213</v>
      </c>
      <c r="BF62" s="111">
        <f t="shared" si="16"/>
        <v>2336.606832359003</v>
      </c>
      <c r="BG62" s="122">
        <v>54</v>
      </c>
      <c r="BH62" s="4" t="s">
        <v>87</v>
      </c>
      <c r="BI62" s="6">
        <v>14</v>
      </c>
      <c r="BJ62" s="24">
        <f t="shared" si="17"/>
        <v>5691.117225128072</v>
      </c>
      <c r="BK62" s="24"/>
      <c r="BL62" s="14">
        <f t="shared" si="18"/>
        <v>267.1087837421711</v>
      </c>
      <c r="BM62" s="2"/>
      <c r="BN62" s="2"/>
      <c r="BO62" s="2"/>
      <c r="BP62" s="42"/>
      <c r="BQ62" s="122">
        <v>54</v>
      </c>
      <c r="BR62" s="4" t="s">
        <v>87</v>
      </c>
      <c r="BS62" s="6">
        <v>14</v>
      </c>
      <c r="BT62" s="2">
        <f t="shared" si="31"/>
        <v>43.36541810642709</v>
      </c>
      <c r="BU62" s="2">
        <f>(18.5*I62*4)</f>
        <v>592</v>
      </c>
      <c r="BV62" s="2"/>
      <c r="BW62" s="24">
        <f t="shared" si="19"/>
        <v>936.5395329474121</v>
      </c>
      <c r="BX62" s="2">
        <v>2656.78</v>
      </c>
      <c r="BY62" s="35">
        <f t="shared" si="20"/>
        <v>1195.3234903320617</v>
      </c>
      <c r="BZ62" s="122">
        <v>54</v>
      </c>
      <c r="CA62" s="4" t="s">
        <v>87</v>
      </c>
      <c r="CB62" s="6">
        <v>14</v>
      </c>
      <c r="CC62" s="125">
        <f t="shared" si="1"/>
        <v>27428.015564790177</v>
      </c>
      <c r="CD62" s="112">
        <f t="shared" si="21"/>
        <v>0.10310176352638588</v>
      </c>
      <c r="CE62" s="108">
        <f t="shared" si="22"/>
        <v>19242.602103104487</v>
      </c>
      <c r="CF62" s="108">
        <f t="shared" si="23"/>
        <v>5284.560112298954</v>
      </c>
      <c r="CG62" s="108">
        <f t="shared" si="24"/>
        <v>2900.853349386735</v>
      </c>
      <c r="CH62" s="113">
        <f t="shared" si="25"/>
        <v>15777.123057250896</v>
      </c>
      <c r="CI62" s="114">
        <f t="shared" si="26"/>
        <v>1668.751643704314</v>
      </c>
      <c r="CJ62" s="114">
        <f t="shared" si="27"/>
        <v>3380.21108283562</v>
      </c>
      <c r="CK62" s="115">
        <f t="shared" si="28"/>
        <v>119.79781203501533</v>
      </c>
      <c r="CL62" s="122">
        <v>54</v>
      </c>
      <c r="CM62" s="4" t="s">
        <v>87</v>
      </c>
      <c r="CN62" s="6">
        <v>14</v>
      </c>
      <c r="CO62" s="126">
        <v>27562.92</v>
      </c>
      <c r="CP62" s="127">
        <v>22380.18</v>
      </c>
      <c r="CQ62" s="128"/>
      <c r="CR62" s="122">
        <v>54</v>
      </c>
      <c r="CS62" s="4" t="s">
        <v>87</v>
      </c>
      <c r="CT62" s="6">
        <v>14</v>
      </c>
      <c r="CU62" s="129">
        <v>0</v>
      </c>
      <c r="CV62" s="130">
        <v>0</v>
      </c>
      <c r="CW62" s="130">
        <v>-122.64</v>
      </c>
      <c r="CX62" s="12"/>
      <c r="CY62" s="8"/>
      <c r="CZ62" s="64"/>
      <c r="DA62" s="61"/>
      <c r="DB62" s="122">
        <v>54</v>
      </c>
      <c r="DC62" s="4" t="s">
        <v>87</v>
      </c>
      <c r="DD62" s="6">
        <v>14</v>
      </c>
      <c r="DE62" s="131">
        <v>0</v>
      </c>
      <c r="DF62" s="131">
        <v>0</v>
      </c>
      <c r="DG62" s="133">
        <v>0</v>
      </c>
      <c r="DH62" s="16"/>
      <c r="DI62" s="16"/>
      <c r="DJ62" s="16"/>
      <c r="DK62" s="16"/>
      <c r="DL62" s="16"/>
    </row>
    <row r="63" spans="1:116" ht="11.25" customHeight="1">
      <c r="A63" s="122">
        <v>55</v>
      </c>
      <c r="B63" s="4" t="s">
        <v>87</v>
      </c>
      <c r="C63" s="6">
        <v>15</v>
      </c>
      <c r="D63" s="43">
        <v>4505.1</v>
      </c>
      <c r="E63" s="36">
        <v>1973</v>
      </c>
      <c r="F63" s="37">
        <v>6</v>
      </c>
      <c r="G63" s="37">
        <v>5</v>
      </c>
      <c r="H63" s="37"/>
      <c r="I63" s="37">
        <v>100</v>
      </c>
      <c r="J63" s="37"/>
      <c r="K63" s="38">
        <v>490</v>
      </c>
      <c r="L63" s="39">
        <f>679+70+138</f>
        <v>887</v>
      </c>
      <c r="M63" s="40">
        <v>388</v>
      </c>
      <c r="N63" s="40">
        <v>899</v>
      </c>
      <c r="O63" s="40">
        <v>2113</v>
      </c>
      <c r="P63" s="37"/>
      <c r="Q63" s="123" t="s">
        <v>51</v>
      </c>
      <c r="R63" s="122">
        <v>55</v>
      </c>
      <c r="S63" s="4" t="s">
        <v>87</v>
      </c>
      <c r="T63" s="6">
        <v>15</v>
      </c>
      <c r="U63" s="41" t="s">
        <v>49</v>
      </c>
      <c r="V63" s="40">
        <v>1234</v>
      </c>
      <c r="W63" s="3">
        <v>20.6</v>
      </c>
      <c r="X63" s="3">
        <v>1082635.32</v>
      </c>
      <c r="Y63" s="3">
        <v>1107485.77</v>
      </c>
      <c r="Z63" s="3">
        <f t="shared" si="2"/>
        <v>102.29536664294308</v>
      </c>
      <c r="AA63" s="3">
        <f t="shared" si="29"/>
        <v>-43141.36506302655</v>
      </c>
      <c r="AB63" s="3">
        <f t="shared" si="3"/>
        <v>1150627.1350630266</v>
      </c>
      <c r="AC63" s="107">
        <f t="shared" si="4"/>
        <v>975107.7415788361</v>
      </c>
      <c r="AD63" s="122">
        <v>55</v>
      </c>
      <c r="AE63" s="4" t="s">
        <v>87</v>
      </c>
      <c r="AF63" s="6">
        <v>15</v>
      </c>
      <c r="AG63" s="124">
        <f t="shared" si="5"/>
        <v>155277.15212234098</v>
      </c>
      <c r="AH63" s="124">
        <f>1.63*82.25/79.4</f>
        <v>1.6885075566750627</v>
      </c>
      <c r="AI63" s="108">
        <f t="shared" si="6"/>
        <v>116447.69207934507</v>
      </c>
      <c r="AJ63" s="108">
        <f t="shared" si="30"/>
        <v>28075.443073222592</v>
      </c>
      <c r="AK63" s="124">
        <f t="shared" si="7"/>
        <v>144523.13515256767</v>
      </c>
      <c r="AL63" s="109">
        <f t="shared" si="8"/>
        <v>10754.016969773298</v>
      </c>
      <c r="AM63" s="122">
        <v>55</v>
      </c>
      <c r="AN63" s="4" t="s">
        <v>87</v>
      </c>
      <c r="AO63" s="6">
        <v>15</v>
      </c>
      <c r="AP63" s="2">
        <f t="shared" si="33"/>
        <v>394214.13844298647</v>
      </c>
      <c r="AQ63" s="2">
        <f>1.499+0.02</f>
        <v>1.5190000000000001</v>
      </c>
      <c r="AR63" s="24">
        <f t="shared" si="10"/>
        <v>200123.5336609795</v>
      </c>
      <c r="AS63" s="24">
        <f t="shared" si="11"/>
        <v>54054.242757345986</v>
      </c>
      <c r="AT63" s="110">
        <v>68630.26</v>
      </c>
      <c r="AU63" s="60">
        <f t="shared" si="34"/>
        <v>3350.218490592026</v>
      </c>
      <c r="AV63" s="122">
        <v>55</v>
      </c>
      <c r="AW63" s="4" t="s">
        <v>87</v>
      </c>
      <c r="AX63" s="6">
        <v>15</v>
      </c>
      <c r="AY63" s="14">
        <f t="shared" si="12"/>
        <v>0</v>
      </c>
      <c r="AZ63" s="7"/>
      <c r="BA63" s="2"/>
      <c r="BB63" s="2"/>
      <c r="BC63" s="25">
        <f t="shared" si="13"/>
        <v>0.24088414354499998</v>
      </c>
      <c r="BD63" s="25">
        <f t="shared" si="14"/>
        <v>38676.39159237971</v>
      </c>
      <c r="BE63" s="24">
        <f t="shared" si="15"/>
        <v>10222.717709731889</v>
      </c>
      <c r="BF63" s="111">
        <f t="shared" si="16"/>
        <v>19156.774231957315</v>
      </c>
      <c r="BG63" s="122">
        <v>55</v>
      </c>
      <c r="BH63" s="4" t="s">
        <v>87</v>
      </c>
      <c r="BI63" s="6">
        <v>15</v>
      </c>
      <c r="BJ63" s="24">
        <f t="shared" si="17"/>
        <v>29020.903955289785</v>
      </c>
      <c r="BK63" s="24"/>
      <c r="BL63" s="14">
        <f t="shared" si="18"/>
        <v>2189.90315129546</v>
      </c>
      <c r="BM63" s="2"/>
      <c r="BN63" s="2"/>
      <c r="BO63" s="2"/>
      <c r="BP63" s="42"/>
      <c r="BQ63" s="122">
        <v>55</v>
      </c>
      <c r="BR63" s="4" t="s">
        <v>87</v>
      </c>
      <c r="BS63" s="6">
        <v>15</v>
      </c>
      <c r="BT63" s="2">
        <f t="shared" si="31"/>
        <v>542.0677263303387</v>
      </c>
      <c r="BU63" s="2"/>
      <c r="BV63" s="2">
        <v>8810.76</v>
      </c>
      <c r="BW63" s="24">
        <f t="shared" si="19"/>
        <v>7678.260691321904</v>
      </c>
      <c r="BX63" s="2"/>
      <c r="BY63" s="35">
        <f t="shared" si="20"/>
        <v>9799.91238634208</v>
      </c>
      <c r="BZ63" s="122">
        <v>55</v>
      </c>
      <c r="CA63" s="4" t="s">
        <v>87</v>
      </c>
      <c r="CB63" s="6">
        <v>15</v>
      </c>
      <c r="CC63" s="125">
        <f t="shared" si="1"/>
        <v>224869.79603446083</v>
      </c>
      <c r="CD63" s="112">
        <f t="shared" si="21"/>
        <v>0.8452843582579092</v>
      </c>
      <c r="CE63" s="108">
        <f t="shared" si="22"/>
        <v>157761.32253811834</v>
      </c>
      <c r="CF63" s="108">
        <f t="shared" si="23"/>
        <v>43325.699293754355</v>
      </c>
      <c r="CG63" s="108">
        <f t="shared" si="24"/>
        <v>23782.774202588134</v>
      </c>
      <c r="CH63" s="113">
        <f t="shared" si="25"/>
        <v>129349.43964553415</v>
      </c>
      <c r="CI63" s="114">
        <f t="shared" si="26"/>
        <v>13681.333994635677</v>
      </c>
      <c r="CJ63" s="114">
        <f t="shared" si="27"/>
        <v>27712.809734818475</v>
      </c>
      <c r="CK63" s="115">
        <f t="shared" si="28"/>
        <v>982.1676487696953</v>
      </c>
      <c r="CL63" s="122">
        <v>55</v>
      </c>
      <c r="CM63" s="4" t="s">
        <v>87</v>
      </c>
      <c r="CN63" s="6">
        <v>15</v>
      </c>
      <c r="CO63" s="126">
        <v>225987.6</v>
      </c>
      <c r="CP63" s="127">
        <v>222692.39</v>
      </c>
      <c r="CQ63" s="128"/>
      <c r="CR63" s="122">
        <v>55</v>
      </c>
      <c r="CS63" s="4" t="s">
        <v>87</v>
      </c>
      <c r="CT63" s="6">
        <v>15</v>
      </c>
      <c r="CU63" s="129">
        <v>1.37</v>
      </c>
      <c r="CV63" s="130">
        <v>28140.38</v>
      </c>
      <c r="CW63" s="130">
        <v>32013.08</v>
      </c>
      <c r="CX63" s="12"/>
      <c r="CY63" s="8"/>
      <c r="CZ63" s="64"/>
      <c r="DA63" s="61"/>
      <c r="DB63" s="122">
        <v>55</v>
      </c>
      <c r="DC63" s="4" t="s">
        <v>87</v>
      </c>
      <c r="DD63" s="6">
        <v>15</v>
      </c>
      <c r="DE63" s="131">
        <v>1.17</v>
      </c>
      <c r="DF63" s="131">
        <v>11299.95</v>
      </c>
      <c r="DG63" s="133">
        <v>10536.02</v>
      </c>
      <c r="DH63" s="16"/>
      <c r="DI63" s="16"/>
      <c r="DJ63" s="16"/>
      <c r="DK63" s="16"/>
      <c r="DL63" s="16"/>
    </row>
    <row r="64" spans="1:116" ht="11.25" customHeight="1">
      <c r="A64" s="122">
        <v>56</v>
      </c>
      <c r="B64" s="4" t="s">
        <v>87</v>
      </c>
      <c r="C64" s="6">
        <v>16</v>
      </c>
      <c r="D64" s="43">
        <v>383.6</v>
      </c>
      <c r="E64" s="36">
        <v>1956</v>
      </c>
      <c r="F64" s="37">
        <v>2</v>
      </c>
      <c r="G64" s="37">
        <v>2</v>
      </c>
      <c r="H64" s="37"/>
      <c r="I64" s="37">
        <v>8</v>
      </c>
      <c r="J64" s="37"/>
      <c r="K64" s="38">
        <v>56.3</v>
      </c>
      <c r="L64" s="39">
        <v>50</v>
      </c>
      <c r="M64" s="40">
        <v>0</v>
      </c>
      <c r="N64" s="40">
        <v>0</v>
      </c>
      <c r="O64" s="40">
        <v>469</v>
      </c>
      <c r="P64" s="37"/>
      <c r="Q64" s="123" t="s">
        <v>51</v>
      </c>
      <c r="R64" s="122">
        <v>56</v>
      </c>
      <c r="S64" s="4" t="s">
        <v>87</v>
      </c>
      <c r="T64" s="6">
        <v>16</v>
      </c>
      <c r="U64" s="41" t="s">
        <v>52</v>
      </c>
      <c r="V64" s="40">
        <v>360</v>
      </c>
      <c r="W64" s="3">
        <v>13.85</v>
      </c>
      <c r="X64" s="3">
        <v>62166.3</v>
      </c>
      <c r="Y64" s="3">
        <v>59578.74</v>
      </c>
      <c r="Z64" s="3">
        <f t="shared" si="2"/>
        <v>95.8376805439603</v>
      </c>
      <c r="AA64" s="3">
        <f t="shared" si="29"/>
        <v>-44957.88977176279</v>
      </c>
      <c r="AB64" s="3">
        <f t="shared" si="3"/>
        <v>104536.62977176279</v>
      </c>
      <c r="AC64" s="107">
        <f t="shared" si="4"/>
        <v>88590.3642133583</v>
      </c>
      <c r="AD64" s="122">
        <v>56</v>
      </c>
      <c r="AE64" s="4" t="s">
        <v>87</v>
      </c>
      <c r="AF64" s="6">
        <v>16</v>
      </c>
      <c r="AG64" s="124">
        <f t="shared" si="5"/>
        <v>13336.687912348305</v>
      </c>
      <c r="AH64" s="124">
        <f>0.14*82.25/79.4</f>
        <v>0.14502518891687657</v>
      </c>
      <c r="AI64" s="108">
        <f t="shared" si="6"/>
        <v>10001.642264483628</v>
      </c>
      <c r="AJ64" s="108">
        <f t="shared" si="30"/>
        <v>2411.3877486203455</v>
      </c>
      <c r="AK64" s="124">
        <f t="shared" si="7"/>
        <v>12413.030013103973</v>
      </c>
      <c r="AL64" s="109">
        <f t="shared" si="8"/>
        <v>923.6578992443325</v>
      </c>
      <c r="AM64" s="122">
        <v>56</v>
      </c>
      <c r="AN64" s="4" t="s">
        <v>87</v>
      </c>
      <c r="AO64" s="6">
        <v>16</v>
      </c>
      <c r="AP64" s="2">
        <f t="shared" si="33"/>
        <v>36517.539430336124</v>
      </c>
      <c r="AQ64" s="2">
        <f>0.14+0</f>
        <v>0.14</v>
      </c>
      <c r="AR64" s="24">
        <f t="shared" si="10"/>
        <v>18444.565314375992</v>
      </c>
      <c r="AS64" s="24">
        <f t="shared" si="11"/>
        <v>4981.957857819907</v>
      </c>
      <c r="AT64" s="110">
        <v>6990.64</v>
      </c>
      <c r="AU64" s="60">
        <f t="shared" si="34"/>
        <v>305.5577360943579</v>
      </c>
      <c r="AV64" s="122">
        <v>56</v>
      </c>
      <c r="AW64" s="4" t="s">
        <v>87</v>
      </c>
      <c r="AX64" s="6">
        <v>16</v>
      </c>
      <c r="AY64" s="14">
        <f t="shared" si="12"/>
        <v>0</v>
      </c>
      <c r="AZ64" s="7"/>
      <c r="BA64" s="2"/>
      <c r="BB64" s="2"/>
      <c r="BC64" s="25">
        <f t="shared" si="13"/>
        <v>0.020510789430614636</v>
      </c>
      <c r="BD64" s="25">
        <f t="shared" si="14"/>
        <v>3293.215203843834</v>
      </c>
      <c r="BE64" s="24">
        <f t="shared" si="15"/>
        <v>870.443389370525</v>
      </c>
      <c r="BF64" s="111">
        <f t="shared" si="16"/>
        <v>1631.1599288315078</v>
      </c>
      <c r="BG64" s="122">
        <v>56</v>
      </c>
      <c r="BH64" s="4" t="s">
        <v>87</v>
      </c>
      <c r="BI64" s="6">
        <v>16</v>
      </c>
      <c r="BJ64" s="24">
        <f t="shared" si="17"/>
        <v>4966.841660460391</v>
      </c>
      <c r="BK64" s="24"/>
      <c r="BL64" s="14">
        <f t="shared" si="18"/>
        <v>186.46574966969396</v>
      </c>
      <c r="BM64" s="2"/>
      <c r="BN64" s="2"/>
      <c r="BO64" s="2"/>
      <c r="BP64" s="42"/>
      <c r="BQ64" s="122">
        <v>56</v>
      </c>
      <c r="BR64" s="4" t="s">
        <v>87</v>
      </c>
      <c r="BS64" s="6">
        <v>16</v>
      </c>
      <c r="BT64" s="2">
        <f t="shared" si="31"/>
        <v>43.36541810642709</v>
      </c>
      <c r="BU64" s="2">
        <f>18.5*I64*4</f>
        <v>592</v>
      </c>
      <c r="BV64" s="2"/>
      <c r="BW64" s="24">
        <f t="shared" si="19"/>
        <v>653.7881070766648</v>
      </c>
      <c r="BX64" s="2">
        <v>2656.78</v>
      </c>
      <c r="BY64" s="35">
        <f t="shared" si="20"/>
        <v>834.4423856076049</v>
      </c>
      <c r="BZ64" s="122">
        <v>56</v>
      </c>
      <c r="CA64" s="4" t="s">
        <v>87</v>
      </c>
      <c r="CB64" s="6">
        <v>16</v>
      </c>
      <c r="CC64" s="125">
        <f t="shared" si="1"/>
        <v>19147.20067452868</v>
      </c>
      <c r="CD64" s="112">
        <f t="shared" si="21"/>
        <v>0.07197422472924772</v>
      </c>
      <c r="CE64" s="108">
        <f t="shared" si="22"/>
        <v>13433.052168791412</v>
      </c>
      <c r="CF64" s="108">
        <f t="shared" si="23"/>
        <v>3689.094193044365</v>
      </c>
      <c r="CG64" s="108">
        <f t="shared" si="24"/>
        <v>2025.0543126929053</v>
      </c>
      <c r="CH64" s="113">
        <f t="shared" si="25"/>
        <v>11013.838771176423</v>
      </c>
      <c r="CI64" s="114">
        <f t="shared" si="26"/>
        <v>1164.9374531846677</v>
      </c>
      <c r="CJ64" s="114">
        <f t="shared" si="27"/>
        <v>2359.6887559158213</v>
      </c>
      <c r="CK64" s="115">
        <f t="shared" si="28"/>
        <v>83.62955540788332</v>
      </c>
      <c r="CL64" s="122">
        <v>56</v>
      </c>
      <c r="CM64" s="4" t="s">
        <v>87</v>
      </c>
      <c r="CN64" s="6">
        <v>16</v>
      </c>
      <c r="CO64" s="126">
        <v>19241.28</v>
      </c>
      <c r="CP64" s="127">
        <v>16716.54</v>
      </c>
      <c r="CQ64" s="128"/>
      <c r="CR64" s="122">
        <v>56</v>
      </c>
      <c r="CS64" s="4" t="s">
        <v>87</v>
      </c>
      <c r="CT64" s="6">
        <v>16</v>
      </c>
      <c r="CU64" s="129">
        <v>0</v>
      </c>
      <c r="CV64" s="130">
        <v>0</v>
      </c>
      <c r="CW64" s="130">
        <v>-446.16</v>
      </c>
      <c r="CX64" s="12"/>
      <c r="CY64" s="8"/>
      <c r="CZ64" s="64"/>
      <c r="DA64" s="61"/>
      <c r="DB64" s="122">
        <v>56</v>
      </c>
      <c r="DC64" s="4" t="s">
        <v>87</v>
      </c>
      <c r="DD64" s="6">
        <v>16</v>
      </c>
      <c r="DE64" s="131">
        <v>0</v>
      </c>
      <c r="DF64" s="131">
        <v>0</v>
      </c>
      <c r="DG64" s="133">
        <v>0</v>
      </c>
      <c r="DH64" s="16"/>
      <c r="DI64" s="16"/>
      <c r="DJ64" s="16"/>
      <c r="DK64" s="16"/>
      <c r="DL64" s="16"/>
    </row>
    <row r="65" spans="1:116" ht="11.25" customHeight="1">
      <c r="A65" s="122">
        <v>57</v>
      </c>
      <c r="B65" s="4" t="s">
        <v>87</v>
      </c>
      <c r="C65" s="6" t="s">
        <v>88</v>
      </c>
      <c r="D65" s="2">
        <v>537.8</v>
      </c>
      <c r="E65" s="36">
        <v>1959</v>
      </c>
      <c r="F65" s="37">
        <v>2</v>
      </c>
      <c r="G65" s="37">
        <v>2</v>
      </c>
      <c r="H65" s="37"/>
      <c r="I65" s="37">
        <v>16</v>
      </c>
      <c r="J65" s="37"/>
      <c r="K65" s="38">
        <v>52.8</v>
      </c>
      <c r="L65" s="39">
        <v>225</v>
      </c>
      <c r="M65" s="40">
        <v>0</v>
      </c>
      <c r="N65" s="40">
        <v>0</v>
      </c>
      <c r="O65" s="40">
        <v>2351</v>
      </c>
      <c r="P65" s="37"/>
      <c r="Q65" s="123" t="s">
        <v>53</v>
      </c>
      <c r="R65" s="122">
        <v>57</v>
      </c>
      <c r="S65" s="4" t="s">
        <v>87</v>
      </c>
      <c r="T65" s="6" t="s">
        <v>88</v>
      </c>
      <c r="U65" s="41" t="s">
        <v>52</v>
      </c>
      <c r="V65" s="40">
        <v>457</v>
      </c>
      <c r="W65" s="3">
        <v>13.85</v>
      </c>
      <c r="X65" s="3">
        <v>87156.12</v>
      </c>
      <c r="Y65" s="3">
        <v>100581.36</v>
      </c>
      <c r="Z65" s="3">
        <f t="shared" si="2"/>
        <v>115.40366872687771</v>
      </c>
      <c r="AA65" s="3">
        <f t="shared" si="29"/>
        <v>-77736.57645159155</v>
      </c>
      <c r="AB65" s="3">
        <f t="shared" si="3"/>
        <v>178317.93645159155</v>
      </c>
      <c r="AC65" s="107">
        <f t="shared" si="4"/>
        <v>151116.89529795895</v>
      </c>
      <c r="AD65" s="122">
        <v>57</v>
      </c>
      <c r="AE65" s="4" t="s">
        <v>87</v>
      </c>
      <c r="AF65" s="6" t="s">
        <v>88</v>
      </c>
      <c r="AG65" s="124">
        <f t="shared" si="5"/>
        <v>40010.06373704491</v>
      </c>
      <c r="AH65" s="124">
        <f>0.42*82.25/79.4</f>
        <v>0.4350755667506297</v>
      </c>
      <c r="AI65" s="108">
        <f t="shared" si="6"/>
        <v>30004.92679345088</v>
      </c>
      <c r="AJ65" s="108">
        <f t="shared" si="30"/>
        <v>7234.163245861037</v>
      </c>
      <c r="AK65" s="124">
        <f t="shared" si="7"/>
        <v>37239.090039311915</v>
      </c>
      <c r="AL65" s="109">
        <f t="shared" si="8"/>
        <v>2770.973697732997</v>
      </c>
      <c r="AM65" s="122">
        <v>57</v>
      </c>
      <c r="AN65" s="4" t="s">
        <v>87</v>
      </c>
      <c r="AO65" s="6" t="s">
        <v>88</v>
      </c>
      <c r="AP65" s="2">
        <f t="shared" si="33"/>
        <v>54830.72997602871</v>
      </c>
      <c r="AQ65" s="2">
        <f>0.221+0.019</f>
        <v>0.24</v>
      </c>
      <c r="AR65" s="24">
        <f t="shared" si="10"/>
        <v>31619.25482464455</v>
      </c>
      <c r="AS65" s="24">
        <f t="shared" si="11"/>
        <v>8540.499184834125</v>
      </c>
      <c r="AT65" s="110">
        <v>6035.13</v>
      </c>
      <c r="AU65" s="60">
        <f t="shared" si="34"/>
        <v>511.6191647870862</v>
      </c>
      <c r="AV65" s="122">
        <v>57</v>
      </c>
      <c r="AW65" s="4" t="s">
        <v>87</v>
      </c>
      <c r="AX65" s="6" t="s">
        <v>88</v>
      </c>
      <c r="AY65" s="14">
        <f t="shared" si="12"/>
        <v>0</v>
      </c>
      <c r="AZ65" s="7"/>
      <c r="BA65" s="2"/>
      <c r="BB65" s="2"/>
      <c r="BC65" s="25">
        <f t="shared" si="13"/>
        <v>0.028755741803400806</v>
      </c>
      <c r="BD65" s="25">
        <f t="shared" si="14"/>
        <v>4617.0259036163025</v>
      </c>
      <c r="BE65" s="24">
        <f t="shared" si="15"/>
        <v>1220.3452940653501</v>
      </c>
      <c r="BF65" s="111">
        <f t="shared" si="16"/>
        <v>2286.855604081295</v>
      </c>
      <c r="BG65" s="122">
        <v>57</v>
      </c>
      <c r="BH65" s="4" t="s">
        <v>87</v>
      </c>
      <c r="BI65" s="6" t="s">
        <v>88</v>
      </c>
      <c r="BJ65" s="24">
        <f t="shared" si="17"/>
        <v>8932.183534695549</v>
      </c>
      <c r="BK65" s="24"/>
      <c r="BL65" s="14">
        <f t="shared" si="18"/>
        <v>261.4214811583978</v>
      </c>
      <c r="BM65" s="2"/>
      <c r="BN65" s="2"/>
      <c r="BO65" s="2"/>
      <c r="BP65" s="42"/>
      <c r="BQ65" s="122">
        <v>57</v>
      </c>
      <c r="BR65" s="4" t="s">
        <v>87</v>
      </c>
      <c r="BS65" s="6" t="s">
        <v>88</v>
      </c>
      <c r="BT65" s="2">
        <f t="shared" si="31"/>
        <v>86.73083621285419</v>
      </c>
      <c r="BU65" s="2">
        <f>18.5*I65*4</f>
        <v>1184</v>
      </c>
      <c r="BV65" s="2"/>
      <c r="BW65" s="24">
        <f t="shared" si="19"/>
        <v>916.598654811862</v>
      </c>
      <c r="BX65" s="2">
        <v>5313.56</v>
      </c>
      <c r="BY65" s="35">
        <f t="shared" si="20"/>
        <v>1169.8725625124346</v>
      </c>
      <c r="BZ65" s="122">
        <v>57</v>
      </c>
      <c r="CA65" s="4" t="s">
        <v>87</v>
      </c>
      <c r="CB65" s="6" t="s">
        <v>88</v>
      </c>
      <c r="CC65" s="125">
        <f t="shared" si="1"/>
        <v>26844.01596131784</v>
      </c>
      <c r="CD65" s="112">
        <f t="shared" si="21"/>
        <v>0.1009065121464792</v>
      </c>
      <c r="CE65" s="108">
        <f t="shared" si="22"/>
        <v>18832.88700827951</v>
      </c>
      <c r="CF65" s="108">
        <f t="shared" si="23"/>
        <v>5172.040816004325</v>
      </c>
      <c r="CG65" s="108">
        <f t="shared" si="24"/>
        <v>2839.088137034005</v>
      </c>
      <c r="CH65" s="113">
        <f t="shared" si="25"/>
        <v>15441.195232374032</v>
      </c>
      <c r="CI65" s="114">
        <f t="shared" si="26"/>
        <v>1633.2204440112464</v>
      </c>
      <c r="CJ65" s="114">
        <f t="shared" si="27"/>
        <v>3308.239345494079</v>
      </c>
      <c r="CK65" s="115">
        <f t="shared" si="28"/>
        <v>117.24706699259552</v>
      </c>
      <c r="CL65" s="122">
        <v>57</v>
      </c>
      <c r="CM65" s="4" t="s">
        <v>87</v>
      </c>
      <c r="CN65" s="6" t="s">
        <v>88</v>
      </c>
      <c r="CO65" s="126">
        <v>26976.18</v>
      </c>
      <c r="CP65" s="127">
        <v>30430.87</v>
      </c>
      <c r="CQ65" s="128"/>
      <c r="CR65" s="122">
        <v>57</v>
      </c>
      <c r="CS65" s="4" t="s">
        <v>87</v>
      </c>
      <c r="CT65" s="6" t="s">
        <v>88</v>
      </c>
      <c r="CU65" s="129">
        <v>0</v>
      </c>
      <c r="CV65" s="130">
        <v>0</v>
      </c>
      <c r="CW65" s="130">
        <v>-79.12</v>
      </c>
      <c r="CX65" s="12"/>
      <c r="CY65" s="8"/>
      <c r="CZ65" s="64"/>
      <c r="DA65" s="61"/>
      <c r="DB65" s="122">
        <v>57</v>
      </c>
      <c r="DC65" s="4" t="s">
        <v>87</v>
      </c>
      <c r="DD65" s="6" t="s">
        <v>88</v>
      </c>
      <c r="DE65" s="131">
        <v>0</v>
      </c>
      <c r="DF65" s="131">
        <v>0</v>
      </c>
      <c r="DG65" s="133">
        <v>-0.22</v>
      </c>
      <c r="DH65" s="16"/>
      <c r="DI65" s="16"/>
      <c r="DJ65" s="16"/>
      <c r="DK65" s="16"/>
      <c r="DL65" s="16"/>
    </row>
    <row r="66" spans="1:116" ht="11.25" customHeight="1">
      <c r="A66" s="122">
        <v>58</v>
      </c>
      <c r="B66" s="4" t="s">
        <v>87</v>
      </c>
      <c r="C66" s="6">
        <v>24</v>
      </c>
      <c r="D66" s="43">
        <v>2944.5</v>
      </c>
      <c r="E66" s="36">
        <v>1967</v>
      </c>
      <c r="F66" s="37">
        <v>4</v>
      </c>
      <c r="G66" s="37">
        <v>5</v>
      </c>
      <c r="H66" s="37"/>
      <c r="I66" s="37">
        <v>64</v>
      </c>
      <c r="J66" s="37"/>
      <c r="K66" s="38">
        <v>327.4</v>
      </c>
      <c r="L66" s="39">
        <f>51+286+820</f>
        <v>1157</v>
      </c>
      <c r="M66" s="40">
        <v>0</v>
      </c>
      <c r="N66" s="40">
        <v>382</v>
      </c>
      <c r="O66" s="40">
        <v>778</v>
      </c>
      <c r="P66" s="37"/>
      <c r="Q66" s="123" t="s">
        <v>51</v>
      </c>
      <c r="R66" s="122">
        <v>58</v>
      </c>
      <c r="S66" s="4" t="s">
        <v>87</v>
      </c>
      <c r="T66" s="6">
        <v>24</v>
      </c>
      <c r="U66" s="41" t="s">
        <v>52</v>
      </c>
      <c r="V66" s="40">
        <v>1101</v>
      </c>
      <c r="W66" s="3">
        <v>20.6</v>
      </c>
      <c r="X66" s="3">
        <v>707564.34</v>
      </c>
      <c r="Y66" s="3">
        <v>705990.12</v>
      </c>
      <c r="Z66" s="3">
        <f t="shared" si="2"/>
        <v>99.77751563907249</v>
      </c>
      <c r="AA66" s="3">
        <f t="shared" si="29"/>
        <v>-13851.043011364876</v>
      </c>
      <c r="AB66" s="3">
        <f t="shared" si="3"/>
        <v>719841.1630113649</v>
      </c>
      <c r="AC66" s="107">
        <f t="shared" si="4"/>
        <v>610034.8839079364</v>
      </c>
      <c r="AD66" s="122">
        <v>58</v>
      </c>
      <c r="AE66" s="4" t="s">
        <v>87</v>
      </c>
      <c r="AF66" s="6">
        <v>24</v>
      </c>
      <c r="AG66" s="124">
        <f t="shared" si="5"/>
        <v>94309.43595160586</v>
      </c>
      <c r="AH66" s="124">
        <f>0.99*82.25/79.4</f>
        <v>1.025535264483627</v>
      </c>
      <c r="AI66" s="108">
        <f t="shared" si="6"/>
        <v>70725.89887027707</v>
      </c>
      <c r="AJ66" s="108">
        <f>AI66*24.109918/100</f>
        <v>17051.95622238673</v>
      </c>
      <c r="AK66" s="124">
        <f t="shared" si="7"/>
        <v>87777.8550926638</v>
      </c>
      <c r="AL66" s="109">
        <f t="shared" si="8"/>
        <v>6531.580858942064</v>
      </c>
      <c r="AM66" s="122">
        <v>58</v>
      </c>
      <c r="AN66" s="4" t="s">
        <v>87</v>
      </c>
      <c r="AO66" s="6">
        <v>24</v>
      </c>
      <c r="AP66" s="2">
        <f t="shared" si="33"/>
        <v>230402.56283857825</v>
      </c>
      <c r="AQ66" s="2">
        <f>1.034+0.02</f>
        <v>1.054</v>
      </c>
      <c r="AR66" s="24">
        <f t="shared" si="10"/>
        <v>138861.22743823068</v>
      </c>
      <c r="AS66" s="24">
        <f t="shared" si="11"/>
        <v>37507.02558672987</v>
      </c>
      <c r="AT66" s="110">
        <v>7247.32</v>
      </c>
      <c r="AU66" s="60">
        <f t="shared" si="34"/>
        <v>2306.1682855570616</v>
      </c>
      <c r="AV66" s="122">
        <v>58</v>
      </c>
      <c r="AW66" s="4" t="s">
        <v>87</v>
      </c>
      <c r="AX66" s="6">
        <v>24</v>
      </c>
      <c r="AY66" s="14">
        <f t="shared" si="12"/>
        <v>0</v>
      </c>
      <c r="AZ66" s="7"/>
      <c r="BA66" s="2"/>
      <c r="BB66" s="2"/>
      <c r="BC66" s="25">
        <f t="shared" si="13"/>
        <v>0.1574400924881251</v>
      </c>
      <c r="BD66" s="25">
        <f t="shared" si="14"/>
        <v>25278.60314837896</v>
      </c>
      <c r="BE66" s="24">
        <f t="shared" si="15"/>
        <v>6681.492596458579</v>
      </c>
      <c r="BF66" s="111">
        <f t="shared" si="16"/>
        <v>12520.725783223083</v>
      </c>
      <c r="BG66" s="122">
        <v>58</v>
      </c>
      <c r="BH66" s="4" t="s">
        <v>87</v>
      </c>
      <c r="BI66" s="6">
        <v>24</v>
      </c>
      <c r="BJ66" s="24">
        <f t="shared" si="17"/>
        <v>26110.972327153933</v>
      </c>
      <c r="BK66" s="24">
        <v>312</v>
      </c>
      <c r="BL66" s="14">
        <f t="shared" si="18"/>
        <v>1431.304483582935</v>
      </c>
      <c r="BM66" s="2"/>
      <c r="BN66" s="2"/>
      <c r="BO66" s="2"/>
      <c r="BP66" s="42"/>
      <c r="BQ66" s="122">
        <v>58</v>
      </c>
      <c r="BR66" s="4" t="s">
        <v>87</v>
      </c>
      <c r="BS66" s="6">
        <v>24</v>
      </c>
      <c r="BT66" s="2">
        <f t="shared" si="31"/>
        <v>346.92334485141674</v>
      </c>
      <c r="BU66" s="2">
        <f>18.5*I66*4</f>
        <v>4736</v>
      </c>
      <c r="BV66" s="2">
        <v>7861.14</v>
      </c>
      <c r="BW66" s="24">
        <f t="shared" si="19"/>
        <v>5018.454330780081</v>
      </c>
      <c r="BX66" s="2"/>
      <c r="BY66" s="35">
        <f t="shared" si="20"/>
        <v>6405.150167939501</v>
      </c>
      <c r="BZ66" s="122">
        <v>58</v>
      </c>
      <c r="CA66" s="4" t="s">
        <v>87</v>
      </c>
      <c r="CB66" s="6">
        <v>24</v>
      </c>
      <c r="CC66" s="125">
        <f t="shared" si="1"/>
        <v>146973.23354053625</v>
      </c>
      <c r="CD66" s="112">
        <f t="shared" si="21"/>
        <v>0.5524715972765117</v>
      </c>
      <c r="CE66" s="108">
        <f t="shared" si="22"/>
        <v>103111.63219761812</v>
      </c>
      <c r="CF66" s="108">
        <f t="shared" si="23"/>
        <v>28317.356234147894</v>
      </c>
      <c r="CG66" s="108">
        <f t="shared" si="24"/>
        <v>15544.245108770228</v>
      </c>
      <c r="CH66" s="113">
        <f t="shared" si="25"/>
        <v>84541.83592734352</v>
      </c>
      <c r="CI66" s="114">
        <f t="shared" si="26"/>
        <v>8942.018589421932</v>
      </c>
      <c r="CJ66" s="114">
        <f t="shared" si="27"/>
        <v>18112.88723095447</v>
      </c>
      <c r="CK66" s="115">
        <f t="shared" si="28"/>
        <v>641.937502342316</v>
      </c>
      <c r="CL66" s="122">
        <v>58</v>
      </c>
      <c r="CM66" s="4" t="s">
        <v>87</v>
      </c>
      <c r="CN66" s="6">
        <v>24</v>
      </c>
      <c r="CO66" s="126">
        <v>147696.24</v>
      </c>
      <c r="CP66" s="127">
        <v>141420.19</v>
      </c>
      <c r="CQ66" s="128"/>
      <c r="CR66" s="122">
        <v>58</v>
      </c>
      <c r="CS66" s="4" t="s">
        <v>87</v>
      </c>
      <c r="CT66" s="6">
        <v>24</v>
      </c>
      <c r="CU66" s="129">
        <v>1.37</v>
      </c>
      <c r="CV66" s="130">
        <v>16064.12</v>
      </c>
      <c r="CW66" s="130">
        <v>17410.36</v>
      </c>
      <c r="CX66" s="12"/>
      <c r="CY66" s="8"/>
      <c r="CZ66" s="64"/>
      <c r="DA66" s="61"/>
      <c r="DB66" s="122">
        <v>58</v>
      </c>
      <c r="DC66" s="4" t="s">
        <v>87</v>
      </c>
      <c r="DD66" s="6">
        <v>24</v>
      </c>
      <c r="DE66" s="139">
        <v>1.04</v>
      </c>
      <c r="DF66" s="139">
        <v>10127.26</v>
      </c>
      <c r="DG66" s="140">
        <v>9323.71</v>
      </c>
      <c r="DH66" s="16"/>
      <c r="DI66" s="16"/>
      <c r="DJ66" s="16"/>
      <c r="DK66" s="16"/>
      <c r="DL66" s="16"/>
    </row>
    <row r="67" spans="1:116" ht="11.25" customHeight="1">
      <c r="A67" s="122">
        <v>59</v>
      </c>
      <c r="B67" s="4" t="s">
        <v>87</v>
      </c>
      <c r="C67" s="6">
        <v>28</v>
      </c>
      <c r="D67" s="43">
        <v>633</v>
      </c>
      <c r="E67" s="36">
        <v>1960</v>
      </c>
      <c r="F67" s="37">
        <v>2</v>
      </c>
      <c r="G67" s="37">
        <v>2</v>
      </c>
      <c r="H67" s="37"/>
      <c r="I67" s="37">
        <v>16</v>
      </c>
      <c r="J67" s="37"/>
      <c r="K67" s="38">
        <v>70.9</v>
      </c>
      <c r="L67" s="39">
        <f>252+139+92</f>
        <v>483</v>
      </c>
      <c r="M67" s="40">
        <v>0</v>
      </c>
      <c r="N67" s="40">
        <v>0</v>
      </c>
      <c r="O67" s="40">
        <v>734</v>
      </c>
      <c r="P67" s="37"/>
      <c r="Q67" s="123" t="s">
        <v>51</v>
      </c>
      <c r="R67" s="122">
        <v>59</v>
      </c>
      <c r="S67" s="4" t="s">
        <v>87</v>
      </c>
      <c r="T67" s="6">
        <v>28</v>
      </c>
      <c r="U67" s="41" t="s">
        <v>52</v>
      </c>
      <c r="V67" s="40">
        <v>542</v>
      </c>
      <c r="W67" s="3">
        <v>20.6</v>
      </c>
      <c r="X67" s="3">
        <v>151234.7</v>
      </c>
      <c r="Y67" s="3">
        <v>148328.88</v>
      </c>
      <c r="Z67" s="3">
        <f t="shared" si="2"/>
        <v>98.07860233134326</v>
      </c>
      <c r="AA67" s="3">
        <f>Y67-AB67</f>
        <v>-35585.43314779474</v>
      </c>
      <c r="AB67" s="3">
        <f t="shared" si="3"/>
        <v>183914.31314779475</v>
      </c>
      <c r="AC67" s="107">
        <f t="shared" si="4"/>
        <v>155859.5874133854</v>
      </c>
      <c r="AD67" s="122">
        <v>59</v>
      </c>
      <c r="AE67" s="4" t="s">
        <v>87</v>
      </c>
      <c r="AF67" s="6">
        <v>28</v>
      </c>
      <c r="AG67" s="124">
        <f t="shared" si="5"/>
        <v>29531.237520199815</v>
      </c>
      <c r="AH67" s="124">
        <f>0.31*82.25/79.4</f>
        <v>0.32112720403022665</v>
      </c>
      <c r="AI67" s="108">
        <f t="shared" si="6"/>
        <v>22146.493585642314</v>
      </c>
      <c r="AJ67" s="108">
        <f t="shared" si="30"/>
        <v>5339.501443373621</v>
      </c>
      <c r="AK67" s="124">
        <f t="shared" si="7"/>
        <v>27485.995029015936</v>
      </c>
      <c r="AL67" s="109">
        <f t="shared" si="8"/>
        <v>2045.2424911838787</v>
      </c>
      <c r="AM67" s="122">
        <v>59</v>
      </c>
      <c r="AN67" s="4" t="s">
        <v>87</v>
      </c>
      <c r="AO67" s="6">
        <v>28</v>
      </c>
      <c r="AP67" s="2">
        <f t="shared" si="33"/>
        <v>61255.92926167768</v>
      </c>
      <c r="AQ67" s="2">
        <f>0.252+0.018</f>
        <v>0.27</v>
      </c>
      <c r="AR67" s="24">
        <f t="shared" si="10"/>
        <v>35571.661677725126</v>
      </c>
      <c r="AS67" s="24">
        <f t="shared" si="11"/>
        <v>9608.061582938391</v>
      </c>
      <c r="AT67" s="110">
        <v>5935.43</v>
      </c>
      <c r="AU67" s="60">
        <f t="shared" si="34"/>
        <v>578.4190550938489</v>
      </c>
      <c r="AV67" s="122">
        <v>59</v>
      </c>
      <c r="AW67" s="4" t="s">
        <v>87</v>
      </c>
      <c r="AX67" s="6">
        <v>28</v>
      </c>
      <c r="AY67" s="14">
        <f t="shared" si="12"/>
        <v>0</v>
      </c>
      <c r="AZ67" s="2"/>
      <c r="BA67" s="2"/>
      <c r="BB67" s="2"/>
      <c r="BC67" s="25">
        <f t="shared" si="13"/>
        <v>0.033846010713188386</v>
      </c>
      <c r="BD67" s="25">
        <f t="shared" si="14"/>
        <v>5434.3201877819265</v>
      </c>
      <c r="BE67" s="24">
        <f t="shared" si="15"/>
        <v>1436.367741062415</v>
      </c>
      <c r="BF67" s="111">
        <f t="shared" si="16"/>
        <v>2691.669017075976</v>
      </c>
      <c r="BG67" s="122">
        <v>59</v>
      </c>
      <c r="BH67" s="4" t="s">
        <v>87</v>
      </c>
      <c r="BI67" s="6">
        <v>28</v>
      </c>
      <c r="BJ67" s="24">
        <f t="shared" si="17"/>
        <v>9347.801580243247</v>
      </c>
      <c r="BK67" s="24"/>
      <c r="BL67" s="14">
        <f t="shared" si="18"/>
        <v>307.6976526092708</v>
      </c>
      <c r="BM67" s="2"/>
      <c r="BN67" s="2"/>
      <c r="BO67" s="2"/>
      <c r="BP67" s="42"/>
      <c r="BQ67" s="122">
        <v>59</v>
      </c>
      <c r="BR67" s="4" t="s">
        <v>87</v>
      </c>
      <c r="BS67" s="6">
        <v>28</v>
      </c>
      <c r="BT67" s="2">
        <f t="shared" si="31"/>
        <v>86.73083621285419</v>
      </c>
      <c r="BU67" s="2">
        <f>18.5*I67*4</f>
        <v>1184</v>
      </c>
      <c r="BV67" s="2"/>
      <c r="BW67" s="24">
        <f t="shared" si="19"/>
        <v>1078.8526375900126</v>
      </c>
      <c r="BX67" s="2">
        <v>5313.56</v>
      </c>
      <c r="BY67" s="35">
        <f t="shared" si="20"/>
        <v>1376.9604538311103</v>
      </c>
      <c r="BZ67" s="122">
        <v>59</v>
      </c>
      <c r="CA67" s="4" t="s">
        <v>87</v>
      </c>
      <c r="CB67" s="6">
        <v>28</v>
      </c>
      <c r="CC67" s="125">
        <f t="shared" si="1"/>
        <v>31595.875982733724</v>
      </c>
      <c r="CD67" s="112">
        <f t="shared" si="21"/>
        <v>0.11876872850264288</v>
      </c>
      <c r="CE67" s="108">
        <f t="shared" si="22"/>
        <v>22166.637181556216</v>
      </c>
      <c r="CF67" s="108">
        <f t="shared" si="23"/>
        <v>6087.582440555483</v>
      </c>
      <c r="CG67" s="108">
        <f t="shared" si="24"/>
        <v>3341.6563606220257</v>
      </c>
      <c r="CH67" s="113">
        <f>5906755.9/205725.87*D67</f>
        <v>18174.556679235335</v>
      </c>
      <c r="CI67" s="114">
        <f t="shared" si="26"/>
        <v>1922.3290090351786</v>
      </c>
      <c r="CJ67" s="114">
        <f t="shared" si="27"/>
        <v>3893.855533093626</v>
      </c>
      <c r="CK67" s="115">
        <f t="shared" si="28"/>
        <v>138.00184716681474</v>
      </c>
      <c r="CL67" s="122">
        <v>59</v>
      </c>
      <c r="CM67" s="4" t="s">
        <v>87</v>
      </c>
      <c r="CN67" s="6">
        <v>28</v>
      </c>
      <c r="CO67" s="126">
        <v>31561.79</v>
      </c>
      <c r="CP67" s="127">
        <v>30210.27</v>
      </c>
      <c r="CQ67" s="128"/>
      <c r="CR67" s="122">
        <v>59</v>
      </c>
      <c r="CS67" s="4" t="s">
        <v>87</v>
      </c>
      <c r="CT67" s="6">
        <v>28</v>
      </c>
      <c r="CU67" s="129">
        <v>1.37</v>
      </c>
      <c r="CV67" s="130">
        <v>4156.98</v>
      </c>
      <c r="CW67" s="130">
        <v>4240.66</v>
      </c>
      <c r="CX67" s="12"/>
      <c r="CY67" s="8"/>
      <c r="CZ67" s="64"/>
      <c r="DA67" s="61"/>
      <c r="DB67" s="122">
        <v>59</v>
      </c>
      <c r="DC67" s="4" t="s">
        <v>87</v>
      </c>
      <c r="DD67" s="6">
        <v>28</v>
      </c>
      <c r="DE67" s="130">
        <v>1.04</v>
      </c>
      <c r="DF67" s="130">
        <v>1550.52</v>
      </c>
      <c r="DG67" s="141">
        <v>1550.42</v>
      </c>
      <c r="DH67" s="16"/>
      <c r="DI67" s="16"/>
      <c r="DJ67" s="16"/>
      <c r="DK67" s="16"/>
      <c r="DL67" s="16"/>
    </row>
    <row r="68" spans="1:116" ht="12" customHeight="1" thickBot="1">
      <c r="A68" s="142"/>
      <c r="B68" s="143" t="s">
        <v>89</v>
      </c>
      <c r="C68" s="144"/>
      <c r="D68" s="19">
        <f>SUM(D7:D67)</f>
        <v>205725.86999999994</v>
      </c>
      <c r="E68" s="145"/>
      <c r="F68" s="146"/>
      <c r="G68" s="146"/>
      <c r="H68" s="147">
        <f>H7+H13+H27+H40+H43+H44+H45+H46+H49+H53+H58+H38</f>
        <v>37</v>
      </c>
      <c r="I68" s="148">
        <f>SUM(I7:I67)</f>
        <v>4341</v>
      </c>
      <c r="J68" s="147">
        <f>J40+J43+J44+J45+J46</f>
        <v>570</v>
      </c>
      <c r="K68" s="149">
        <f aca="true" t="shared" si="35" ref="K68:P68">SUM(K7:K67)</f>
        <v>23643.91999999999</v>
      </c>
      <c r="L68" s="150">
        <f t="shared" si="35"/>
        <v>55975.1</v>
      </c>
      <c r="M68" s="151">
        <f t="shared" si="35"/>
        <v>8043.900000000001</v>
      </c>
      <c r="N68" s="152">
        <f t="shared" si="35"/>
        <v>28606.6</v>
      </c>
      <c r="O68" s="152">
        <f t="shared" si="35"/>
        <v>152150.4</v>
      </c>
      <c r="P68" s="153">
        <f t="shared" si="35"/>
        <v>6</v>
      </c>
      <c r="Q68" s="154"/>
      <c r="R68" s="142"/>
      <c r="S68" s="143" t="s">
        <v>89</v>
      </c>
      <c r="T68" s="144"/>
      <c r="U68" s="155"/>
      <c r="V68" s="150">
        <f>SUM(V7:V67)</f>
        <v>59010.200000000004</v>
      </c>
      <c r="W68" s="55"/>
      <c r="X68" s="19">
        <f>SUM(X7:X67)</f>
        <v>54832482.70000001</v>
      </c>
      <c r="Y68" s="19">
        <f>SUM(Y7:Y67)</f>
        <v>54422180.970000006</v>
      </c>
      <c r="Z68" s="19">
        <f>Y68/X68*100</f>
        <v>99.25171775962644</v>
      </c>
      <c r="AA68" s="149">
        <f>SUM(AA7:AA67)</f>
        <v>-1897367.9373695503</v>
      </c>
      <c r="AB68" s="19">
        <f aca="true" t="shared" si="36" ref="AB68:CK68">SUM(AB7:AB67)</f>
        <v>56319548.907369554</v>
      </c>
      <c r="AC68" s="156">
        <f t="shared" si="36"/>
        <v>47728431.27743184</v>
      </c>
      <c r="AD68" s="142"/>
      <c r="AE68" s="143" t="s">
        <v>89</v>
      </c>
      <c r="AF68" s="144"/>
      <c r="AG68" s="157">
        <f t="shared" si="36"/>
        <v>7563807.287431823</v>
      </c>
      <c r="AH68" s="157">
        <f t="shared" si="36"/>
        <v>82.24999999999997</v>
      </c>
      <c r="AI68" s="157">
        <f t="shared" si="36"/>
        <v>5672359.97</v>
      </c>
      <c r="AJ68" s="157">
        <f t="shared" si="36"/>
        <v>1367601.3374318248</v>
      </c>
      <c r="AK68" s="157">
        <f t="shared" si="36"/>
        <v>7039961.307431829</v>
      </c>
      <c r="AL68" s="158">
        <f t="shared" si="36"/>
        <v>523845.97999999986</v>
      </c>
      <c r="AM68" s="142"/>
      <c r="AN68" s="143" t="s">
        <v>89</v>
      </c>
      <c r="AO68" s="144"/>
      <c r="AP68" s="18">
        <f t="shared" si="36"/>
        <v>16765993.499999996</v>
      </c>
      <c r="AQ68" s="17">
        <f t="shared" si="36"/>
        <v>63.29999999999999</v>
      </c>
      <c r="AR68" s="19">
        <f t="shared" si="36"/>
        <v>8339578.460000001</v>
      </c>
      <c r="AS68" s="19">
        <f t="shared" si="36"/>
        <v>2252556.6600000006</v>
      </c>
      <c r="AT68" s="159">
        <f>SUM(AT7:AT67)</f>
        <v>2677267.540000001</v>
      </c>
      <c r="AU68" s="49">
        <f t="shared" si="36"/>
        <v>141441.83000000002</v>
      </c>
      <c r="AV68" s="142"/>
      <c r="AW68" s="143" t="s">
        <v>89</v>
      </c>
      <c r="AX68" s="144"/>
      <c r="AY68" s="19">
        <f>SUM(AY7:AY67)</f>
        <v>247369.86</v>
      </c>
      <c r="AZ68" s="19">
        <f>SUM(AZ7:AZ67)</f>
        <v>164300.18</v>
      </c>
      <c r="BA68" s="19">
        <f>SUM(BA7:BA67)</f>
        <v>51374.76</v>
      </c>
      <c r="BB68" s="19">
        <f>SUM(BB7:BB67)</f>
        <v>31694.92</v>
      </c>
      <c r="BC68" s="160">
        <f t="shared" si="36"/>
        <v>11</v>
      </c>
      <c r="BD68" s="19">
        <f t="shared" si="36"/>
        <v>1766161.5300000003</v>
      </c>
      <c r="BE68" s="19">
        <f t="shared" si="36"/>
        <v>466821.4899999998</v>
      </c>
      <c r="BF68" s="156">
        <f t="shared" si="36"/>
        <v>874796.13</v>
      </c>
      <c r="BG68" s="142"/>
      <c r="BH68" s="143" t="s">
        <v>89</v>
      </c>
      <c r="BI68" s="144"/>
      <c r="BJ68" s="19">
        <f t="shared" si="36"/>
        <v>5288052.710000001</v>
      </c>
      <c r="BK68" s="19">
        <f t="shared" si="36"/>
        <v>42979.95</v>
      </c>
      <c r="BL68" s="19">
        <f t="shared" si="36"/>
        <v>100002.16</v>
      </c>
      <c r="BM68" s="19">
        <f t="shared" si="36"/>
        <v>28000</v>
      </c>
      <c r="BN68" s="19">
        <f>SUM(BN7:BN67)</f>
        <v>141316.88000000003</v>
      </c>
      <c r="BO68" s="19">
        <f>SUM(BO7:BO67)</f>
        <v>35936.8</v>
      </c>
      <c r="BP68" s="49">
        <f>SUM(BP7:BP67)</f>
        <v>3713050.5799999996</v>
      </c>
      <c r="BQ68" s="142"/>
      <c r="BR68" s="143" t="s">
        <v>89</v>
      </c>
      <c r="BS68" s="144"/>
      <c r="BT68" s="19">
        <f t="shared" si="36"/>
        <v>23531.159999999985</v>
      </c>
      <c r="BU68" s="19">
        <f>BU67+BU66+BU65+BU64+BU62+BU57+BU56+BU55+BU54+BU39+BU37+BU36+BU35+BU34+BU33+BU32+BU31+BU28+BU25+BU21+BU18+BU17+BU16+BU12+BU11+BU10+BU9+BU8+BU42</f>
        <v>75776</v>
      </c>
      <c r="BV68" s="19">
        <f>SUM(BV7:BV67)</f>
        <v>155931.18000000002</v>
      </c>
      <c r="BW68" s="19">
        <f>SUM(BW7:BW67)</f>
        <v>350628.59000000026</v>
      </c>
      <c r="BX68" s="19">
        <f t="shared" si="36"/>
        <v>173385.37</v>
      </c>
      <c r="BY68" s="49">
        <f t="shared" si="36"/>
        <v>447514.0399999999</v>
      </c>
      <c r="BZ68" s="142"/>
      <c r="CA68" s="143" t="s">
        <v>89</v>
      </c>
      <c r="CB68" s="144"/>
      <c r="CC68" s="161">
        <f t="shared" si="36"/>
        <v>10268703.119999997</v>
      </c>
      <c r="CD68" s="161">
        <f t="shared" si="36"/>
        <v>38.6</v>
      </c>
      <c r="CE68" s="161">
        <f t="shared" si="36"/>
        <v>7204187.550000002</v>
      </c>
      <c r="CF68" s="161">
        <f t="shared" si="36"/>
        <v>1978472.6600000001</v>
      </c>
      <c r="CG68" s="161">
        <f t="shared" si="36"/>
        <v>1086042.9100000001</v>
      </c>
      <c r="CH68" s="159">
        <f t="shared" si="36"/>
        <v>5906755.9</v>
      </c>
      <c r="CI68" s="159">
        <f t="shared" si="36"/>
        <v>624759.5700000001</v>
      </c>
      <c r="CJ68" s="159">
        <f t="shared" si="36"/>
        <v>1265508.4000000004</v>
      </c>
      <c r="CK68" s="162">
        <f t="shared" si="36"/>
        <v>44850.789999999986</v>
      </c>
      <c r="CL68" s="142"/>
      <c r="CM68" s="143" t="s">
        <v>89</v>
      </c>
      <c r="CN68" s="144"/>
      <c r="CO68" s="163">
        <f>SUM(CO7:CO67)</f>
        <v>10323960.629999999</v>
      </c>
      <c r="CP68" s="164">
        <f>SUM(CP7:CP67)</f>
        <v>9972945.569999998</v>
      </c>
      <c r="CQ68" s="165"/>
      <c r="CR68" s="142"/>
      <c r="CS68" s="143" t="s">
        <v>89</v>
      </c>
      <c r="CT68" s="144"/>
      <c r="CU68" s="166"/>
      <c r="CV68" s="167">
        <f>SUM(CV7:CV67)</f>
        <v>1162367.2099999997</v>
      </c>
      <c r="CW68" s="159">
        <f>SUM(CW7:CW67)</f>
        <v>1251877.0000000002</v>
      </c>
      <c r="CX68" s="20"/>
      <c r="CY68" s="50">
        <f>SUM(CY7:CY67)</f>
        <v>1145445</v>
      </c>
      <c r="CZ68" s="50">
        <f>SUM(CZ7:CZ67)</f>
        <v>580225</v>
      </c>
      <c r="DA68" s="51">
        <f>SUM(DA7:DA67)</f>
        <v>1617438</v>
      </c>
      <c r="DB68" s="142"/>
      <c r="DC68" s="143" t="s">
        <v>89</v>
      </c>
      <c r="DD68" s="144"/>
      <c r="DE68" s="17"/>
      <c r="DF68" s="168">
        <f>SUM(DF7:DF67)</f>
        <v>564770.05</v>
      </c>
      <c r="DG68" s="169">
        <f>SUM(DG7:DG67)</f>
        <v>532994.4099999999</v>
      </c>
      <c r="DH68" s="16"/>
      <c r="DI68" s="16"/>
      <c r="DJ68" s="16"/>
      <c r="DK68" s="16"/>
      <c r="DL68" s="16"/>
    </row>
  </sheetData>
  <sheetProtection/>
  <mergeCells count="5">
    <mergeCell ref="AP1:BF1"/>
    <mergeCell ref="A2:Q2"/>
    <mergeCell ref="A1:Q1"/>
    <mergeCell ref="A4:Q4"/>
    <mergeCell ref="A3:Q3"/>
  </mergeCells>
  <printOptions/>
  <pageMargins left="0.16" right="0.12" top="0.16" bottom="0.16" header="0.16" footer="0.1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2014-03-11T12:22:12Z</cp:lastPrinted>
  <dcterms:modified xsi:type="dcterms:W3CDTF">2014-03-11T12:32:07Z</dcterms:modified>
  <cp:category/>
  <cp:version/>
  <cp:contentType/>
  <cp:contentStatus/>
</cp:coreProperties>
</file>