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 год" sheetId="1" r:id="rId1"/>
  </sheets>
  <definedNames/>
  <calcPr fullCalcOnLoad="1"/>
</workbook>
</file>

<file path=xl/sharedStrings.xml><?xml version="1.0" encoding="utf-8"?>
<sst xmlns="http://schemas.openxmlformats.org/spreadsheetml/2006/main" count="1349" uniqueCount="132">
  <si>
    <t>ПОДОМОВЫЙ УЧЕТ СРЕДСТВ</t>
  </si>
  <si>
    <t xml:space="preserve"> собственников  и нанимателей многоквартирных домов,</t>
  </si>
  <si>
    <t>Текущий ремонт, всего</t>
  </si>
  <si>
    <t>Услуги управления (ИРЦ)</t>
  </si>
  <si>
    <t>№  п/п</t>
  </si>
  <si>
    <t>Название улиц</t>
  </si>
  <si>
    <t>n\n    домов</t>
  </si>
  <si>
    <t>Год  застройки</t>
  </si>
  <si>
    <t>К-во п-дов</t>
  </si>
  <si>
    <t>Кол-во этажей</t>
  </si>
  <si>
    <t>К-во лиф-в</t>
  </si>
  <si>
    <t>Кол-во квартир</t>
  </si>
  <si>
    <t>Кол-во эл.плит</t>
  </si>
  <si>
    <t>Уб.пл.    л/кл.</t>
  </si>
  <si>
    <t>Пл.тротуаров</t>
  </si>
  <si>
    <t>Пл.пр.замощений</t>
  </si>
  <si>
    <t>Пл.грунта</t>
  </si>
  <si>
    <t>пл.газона</t>
  </si>
  <si>
    <t>Ко-во м/пр-ов</t>
  </si>
  <si>
    <t>Мат-л стен</t>
  </si>
  <si>
    <t>Мат-л кровли</t>
  </si>
  <si>
    <t>Пл.кровли</t>
  </si>
  <si>
    <t>Запланированый доход (начислено по тарифу)</t>
  </si>
  <si>
    <t>Фактический доход (оплачено населением</t>
  </si>
  <si>
    <t>% сбора</t>
  </si>
  <si>
    <t>ВСЕГО фактический      расход              ( с НДС)</t>
  </si>
  <si>
    <t>Численность</t>
  </si>
  <si>
    <t>Отчисления на соц.нужды</t>
  </si>
  <si>
    <t>ИТОГО: З/плата + начисления</t>
  </si>
  <si>
    <t>Материалы МОП</t>
  </si>
  <si>
    <t>Заработная плата</t>
  </si>
  <si>
    <t>Начисления на з/плату</t>
  </si>
  <si>
    <t>Инструмент</t>
  </si>
  <si>
    <t>Численность АДС</t>
  </si>
  <si>
    <t>З/плата</t>
  </si>
  <si>
    <t xml:space="preserve">Начисления на з/плату </t>
  </si>
  <si>
    <t>Содержание транспорта</t>
  </si>
  <si>
    <t xml:space="preserve">Очистка вентканалов </t>
  </si>
  <si>
    <t>Очистка дымоходов</t>
  </si>
  <si>
    <t>Т/О внутридомовых газовых сетей и вводов</t>
  </si>
  <si>
    <t>Начисления на  з/плату</t>
  </si>
  <si>
    <t>Вид кап.ремонта</t>
  </si>
  <si>
    <t>Циолковского</t>
  </si>
  <si>
    <t>панель</t>
  </si>
  <si>
    <t>совмещ.</t>
  </si>
  <si>
    <t>1\22</t>
  </si>
  <si>
    <t>кирпич</t>
  </si>
  <si>
    <t>шифер</t>
  </si>
  <si>
    <t>шл.бл.</t>
  </si>
  <si>
    <t>металл</t>
  </si>
  <si>
    <t>7\11</t>
  </si>
  <si>
    <t>9\16</t>
  </si>
  <si>
    <t>10\6</t>
  </si>
  <si>
    <t>1984-89</t>
  </si>
  <si>
    <t>11А</t>
  </si>
  <si>
    <t>12\20</t>
  </si>
  <si>
    <t>13А</t>
  </si>
  <si>
    <t>13Б</t>
  </si>
  <si>
    <t>13В</t>
  </si>
  <si>
    <t>15А</t>
  </si>
  <si>
    <t>15Б</t>
  </si>
  <si>
    <t>17б</t>
  </si>
  <si>
    <t>18\9</t>
  </si>
  <si>
    <t>Бородинская</t>
  </si>
  <si>
    <t>17А</t>
  </si>
  <si>
    <t>Давыдова</t>
  </si>
  <si>
    <t>Дорохова</t>
  </si>
  <si>
    <t>Б.Серпуховская</t>
  </si>
  <si>
    <t>дерево</t>
  </si>
  <si>
    <t>Сосновая</t>
  </si>
  <si>
    <t>2, к.1</t>
  </si>
  <si>
    <t>2, к.2</t>
  </si>
  <si>
    <t>2, к.3</t>
  </si>
  <si>
    <t>8А</t>
  </si>
  <si>
    <t>1977-78</t>
  </si>
  <si>
    <t>10А</t>
  </si>
  <si>
    <t>10Б</t>
  </si>
  <si>
    <t>Курчатова</t>
  </si>
  <si>
    <t>11\12</t>
  </si>
  <si>
    <t>17\5</t>
  </si>
  <si>
    <t>61а</t>
  </si>
  <si>
    <t>61б</t>
  </si>
  <si>
    <t>Багратиона</t>
  </si>
  <si>
    <t>16А</t>
  </si>
  <si>
    <t>ИТОГО:</t>
  </si>
  <si>
    <t>Числ-сть АУП и вспом. персонала</t>
  </si>
  <si>
    <t>Лифты</t>
  </si>
  <si>
    <t xml:space="preserve">Общая пл-дь собст-ков и нан-лей помещений </t>
  </si>
  <si>
    <t>Тех.освидетельствование лифтов</t>
  </si>
  <si>
    <t>Измерение петли "фаза-ноль" на лифтах</t>
  </si>
  <si>
    <t xml:space="preserve">Установка общ.дом. приборов ХВС </t>
  </si>
  <si>
    <t>Подрядные работы по Т.Р.,     ВСЕГО</t>
  </si>
  <si>
    <t>в т.ч. устранение завалов д/х и в/к</t>
  </si>
  <si>
    <t>в .ч. ремонт балконов</t>
  </si>
  <si>
    <t>Кровля</t>
  </si>
  <si>
    <t>Заботная плата,б/учета з/пл. из др. ист-ков</t>
  </si>
  <si>
    <t>относимые на себестоимость</t>
  </si>
  <si>
    <t>Амортизация</t>
  </si>
  <si>
    <t>в .ч. ремонт лифтов</t>
  </si>
  <si>
    <t xml:space="preserve">Дератизация </t>
  </si>
  <si>
    <t>Дезинсекция</t>
  </si>
  <si>
    <t>Страхование лифтов</t>
  </si>
  <si>
    <t>Прочие                      (хим.оч. вода, ремонт обор-я)</t>
  </si>
  <si>
    <t>Услуги сторонних организаций, всего</t>
  </si>
  <si>
    <t>Прочие расходы АУП</t>
  </si>
  <si>
    <t>Прочие прямые расходы</t>
  </si>
  <si>
    <t>14,к2</t>
  </si>
  <si>
    <t>14,к1</t>
  </si>
  <si>
    <t>План на 2014г.</t>
  </si>
  <si>
    <t>Выполнение в 2014г.</t>
  </si>
  <si>
    <t>Материалы по факту (см. отчет по м-м за 2014г.)</t>
  </si>
  <si>
    <t>в .ч. Ремонт  козырьков</t>
  </si>
  <si>
    <t>в .ч. ремонт констр. эл. зд.</t>
  </si>
  <si>
    <t>в .ч.ремонт     швов</t>
  </si>
  <si>
    <t>Диагностика лифтов</t>
  </si>
  <si>
    <t>находящихся в управлении МУЖРП №9 г. Подольска за 2014 год.</t>
  </si>
  <si>
    <t>Задолж-ть насел. на  01.01.2015г.</t>
  </si>
  <si>
    <t>Сантарное содержание дома, всего</t>
  </si>
  <si>
    <t>Содержание АУП, всего</t>
  </si>
  <si>
    <t>Наислено населению</t>
  </si>
  <si>
    <t>Оплачено населением</t>
  </si>
  <si>
    <t>Ставка К.Р.</t>
  </si>
  <si>
    <t>Ставка</t>
  </si>
  <si>
    <t>Факт-й р-т по дому:  Собрано- изр-вано (с НДС)</t>
  </si>
  <si>
    <t>ВСЕГО факт-й расход по сод-ю ж/ф ,без уч. мусора ,     без НДС)</t>
  </si>
  <si>
    <t>Технич-е,авар-е и диспетч-е обслуживание лифтов</t>
  </si>
  <si>
    <t>МУСОР</t>
  </si>
  <si>
    <t>Начислено населению</t>
  </si>
  <si>
    <t>КАПИТАЛЬНЫЙ  РЕМОНТ</t>
  </si>
  <si>
    <t>НАЕМ</t>
  </si>
  <si>
    <t xml:space="preserve">Содержание и ремонт жилых помещений </t>
  </si>
  <si>
    <t xml:space="preserve">                     Содержание и ремонт жилых помещений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</si>
</sst>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;[Red]\-#,##0.00"/>
    <numFmt numFmtId="167" formatCode="0.000"/>
    <numFmt numFmtId="168" formatCode="#,##0.000"/>
    <numFmt numFmtId="169" formatCode="#,##0.00&quot;р.&quot;"/>
    <numFmt numFmtId="170" formatCode="#,##0.0000"/>
    <numFmt numFmtId="171" formatCode="#,##0.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5" fillId="24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4" fontId="20" fillId="25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" fontId="20" fillId="24" borderId="11" xfId="0" applyNumberFormat="1" applyFont="1" applyFill="1" applyBorder="1" applyAlignment="1">
      <alignment/>
    </xf>
    <xf numFmtId="4" fontId="25" fillId="24" borderId="11" xfId="0" applyNumberFormat="1" applyFont="1" applyFill="1" applyBorder="1" applyAlignment="1">
      <alignment/>
    </xf>
    <xf numFmtId="4" fontId="23" fillId="24" borderId="11" xfId="0" applyNumberFormat="1" applyFont="1" applyFill="1" applyBorder="1" applyAlignment="1">
      <alignment/>
    </xf>
    <xf numFmtId="0" fontId="20" fillId="26" borderId="10" xfId="0" applyFont="1" applyFill="1" applyBorder="1" applyAlignment="1">
      <alignment/>
    </xf>
    <xf numFmtId="0" fontId="22" fillId="26" borderId="10" xfId="0" applyFont="1" applyFill="1" applyBorder="1" applyAlignment="1">
      <alignment/>
    </xf>
    <xf numFmtId="0" fontId="20" fillId="26" borderId="10" xfId="0" applyFont="1" applyFill="1" applyBorder="1" applyAlignment="1">
      <alignment horizontal="right"/>
    </xf>
    <xf numFmtId="4" fontId="20" fillId="26" borderId="10" xfId="0" applyNumberFormat="1" applyFont="1" applyFill="1" applyBorder="1" applyAlignment="1">
      <alignment/>
    </xf>
    <xf numFmtId="4" fontId="23" fillId="26" borderId="10" xfId="0" applyNumberFormat="1" applyFont="1" applyFill="1" applyBorder="1" applyAlignment="1">
      <alignment/>
    </xf>
    <xf numFmtId="4" fontId="23" fillId="26" borderId="10" xfId="0" applyNumberFormat="1" applyFont="1" applyFill="1" applyBorder="1" applyAlignment="1">
      <alignment horizontal="center"/>
    </xf>
    <xf numFmtId="166" fontId="20" fillId="26" borderId="10" xfId="0" applyNumberFormat="1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18" fillId="26" borderId="0" xfId="0" applyFont="1" applyFill="1" applyAlignment="1">
      <alignment/>
    </xf>
    <xf numFmtId="1" fontId="20" fillId="26" borderId="10" xfId="0" applyNumberFormat="1" applyFont="1" applyFill="1" applyBorder="1" applyAlignment="1">
      <alignment horizontal="center"/>
    </xf>
    <xf numFmtId="1" fontId="20" fillId="26" borderId="10" xfId="0" applyNumberFormat="1" applyFont="1" applyFill="1" applyBorder="1" applyAlignment="1">
      <alignment/>
    </xf>
    <xf numFmtId="2" fontId="20" fillId="26" borderId="10" xfId="0" applyNumberFormat="1" applyFont="1" applyFill="1" applyBorder="1" applyAlignment="1">
      <alignment/>
    </xf>
    <xf numFmtId="164" fontId="20" fillId="26" borderId="10" xfId="0" applyNumberFormat="1" applyFont="1" applyFill="1" applyBorder="1" applyAlignment="1">
      <alignment/>
    </xf>
    <xf numFmtId="165" fontId="20" fillId="26" borderId="10" xfId="0" applyNumberFormat="1" applyFont="1" applyFill="1" applyBorder="1" applyAlignment="1">
      <alignment/>
    </xf>
    <xf numFmtId="1" fontId="23" fillId="26" borderId="10" xfId="0" applyNumberFormat="1" applyFont="1" applyFill="1" applyBorder="1" applyAlignment="1">
      <alignment/>
    </xf>
    <xf numFmtId="1" fontId="23" fillId="26" borderId="10" xfId="0" applyNumberFormat="1" applyFont="1" applyFill="1" applyBorder="1" applyAlignment="1">
      <alignment horizontal="right"/>
    </xf>
    <xf numFmtId="4" fontId="20" fillId="26" borderId="12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 horizontal="right"/>
    </xf>
    <xf numFmtId="4" fontId="20" fillId="0" borderId="12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/>
    </xf>
    <xf numFmtId="165" fontId="23" fillId="0" borderId="10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" fontId="20" fillId="24" borderId="10" xfId="0" applyNumberFormat="1" applyFont="1" applyFill="1" applyBorder="1" applyAlignment="1">
      <alignment horizontal="center"/>
    </xf>
    <xf numFmtId="165" fontId="18" fillId="24" borderId="10" xfId="0" applyNumberFormat="1" applyFont="1" applyFill="1" applyBorder="1" applyAlignment="1">
      <alignment/>
    </xf>
    <xf numFmtId="1" fontId="20" fillId="24" borderId="10" xfId="0" applyNumberFormat="1" applyFont="1" applyFill="1" applyBorder="1" applyAlignment="1">
      <alignment/>
    </xf>
    <xf numFmtId="1" fontId="25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164" fontId="25" fillId="24" borderId="10" xfId="0" applyNumberFormat="1" applyFont="1" applyFill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3" fontId="20" fillId="24" borderId="10" xfId="0" applyNumberFormat="1" applyFont="1" applyFill="1" applyBorder="1" applyAlignment="1">
      <alignment/>
    </xf>
    <xf numFmtId="3" fontId="23" fillId="24" borderId="10" xfId="0" applyNumberFormat="1" applyFont="1" applyFill="1" applyBorder="1" applyAlignment="1">
      <alignment horizontal="right"/>
    </xf>
    <xf numFmtId="4" fontId="23" fillId="24" borderId="13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6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1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/>
    </xf>
    <xf numFmtId="0" fontId="29" fillId="26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26" borderId="10" xfId="0" applyFont="1" applyFill="1" applyBorder="1" applyAlignment="1">
      <alignment horizontal="right"/>
    </xf>
    <xf numFmtId="0" fontId="21" fillId="26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23" fillId="24" borderId="20" xfId="0" applyNumberFormat="1" applyFont="1" applyFill="1" applyBorder="1" applyAlignment="1">
      <alignment/>
    </xf>
    <xf numFmtId="0" fontId="20" fillId="0" borderId="21" xfId="0" applyFont="1" applyFill="1" applyBorder="1" applyAlignment="1">
      <alignment horizontal="center" vertical="center" wrapText="1"/>
    </xf>
    <xf numFmtId="4" fontId="20" fillId="24" borderId="22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3" fontId="23" fillId="26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4" fontId="20" fillId="26" borderId="10" xfId="0" applyNumberFormat="1" applyFont="1" applyFill="1" applyBorder="1" applyAlignment="1">
      <alignment horizontal="center"/>
    </xf>
    <xf numFmtId="168" fontId="23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4" fontId="18" fillId="26" borderId="2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4" fontId="20" fillId="26" borderId="21" xfId="0" applyNumberFormat="1" applyFont="1" applyFill="1" applyBorder="1" applyAlignment="1">
      <alignment/>
    </xf>
    <xf numFmtId="2" fontId="18" fillId="26" borderId="12" xfId="0" applyNumberFormat="1" applyFont="1" applyFill="1" applyBorder="1" applyAlignment="1">
      <alignment/>
    </xf>
    <xf numFmtId="4" fontId="20" fillId="0" borderId="21" xfId="0" applyNumberFormat="1" applyFont="1" applyBorder="1" applyAlignment="1">
      <alignment/>
    </xf>
    <xf numFmtId="0" fontId="18" fillId="26" borderId="12" xfId="0" applyFont="1" applyFill="1" applyBorder="1" applyAlignment="1">
      <alignment/>
    </xf>
    <xf numFmtId="2" fontId="18" fillId="0" borderId="12" xfId="0" applyNumberFormat="1" applyFont="1" applyBorder="1" applyAlignment="1">
      <alignment/>
    </xf>
    <xf numFmtId="0" fontId="28" fillId="27" borderId="18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4" fontId="27" fillId="28" borderId="19" xfId="0" applyNumberFormat="1" applyFont="1" applyFill="1" applyBorder="1" applyAlignment="1">
      <alignment/>
    </xf>
    <xf numFmtId="4" fontId="27" fillId="28" borderId="13" xfId="0" applyNumberFormat="1" applyFont="1" applyFill="1" applyBorder="1" applyAlignment="1">
      <alignment/>
    </xf>
    <xf numFmtId="0" fontId="20" fillId="0" borderId="23" xfId="0" applyFont="1" applyBorder="1" applyAlignment="1">
      <alignment horizontal="center" vertical="center" wrapText="1"/>
    </xf>
    <xf numFmtId="0" fontId="27" fillId="27" borderId="16" xfId="0" applyFont="1" applyFill="1" applyBorder="1" applyAlignment="1">
      <alignment horizontal="center" vertical="center" wrapText="1"/>
    </xf>
    <xf numFmtId="0" fontId="28" fillId="27" borderId="15" xfId="0" applyFont="1" applyFill="1" applyBorder="1" applyAlignment="1">
      <alignment horizontal="center" vertical="center" wrapText="1"/>
    </xf>
    <xf numFmtId="4" fontId="28" fillId="27" borderId="18" xfId="0" applyNumberFormat="1" applyFont="1" applyFill="1" applyBorder="1" applyAlignment="1">
      <alignment/>
    </xf>
    <xf numFmtId="4" fontId="28" fillId="27" borderId="12" xfId="0" applyNumberFormat="1" applyFont="1" applyFill="1" applyBorder="1" applyAlignment="1">
      <alignment/>
    </xf>
    <xf numFmtId="4" fontId="27" fillId="27" borderId="18" xfId="0" applyNumberFormat="1" applyFont="1" applyFill="1" applyBorder="1" applyAlignment="1">
      <alignment/>
    </xf>
    <xf numFmtId="4" fontId="20" fillId="24" borderId="13" xfId="0" applyNumberFormat="1" applyFont="1" applyFill="1" applyBorder="1" applyAlignment="1">
      <alignment/>
    </xf>
    <xf numFmtId="4" fontId="22" fillId="26" borderId="10" xfId="0" applyNumberFormat="1" applyFont="1" applyFill="1" applyBorder="1" applyAlignment="1">
      <alignment/>
    </xf>
    <xf numFmtId="4" fontId="20" fillId="26" borderId="12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 horizontal="right"/>
    </xf>
    <xf numFmtId="4" fontId="23" fillId="0" borderId="12" xfId="0" applyNumberFormat="1" applyFont="1" applyFill="1" applyBorder="1" applyAlignment="1">
      <alignment horizontal="right"/>
    </xf>
    <xf numFmtId="4" fontId="22" fillId="25" borderId="21" xfId="0" applyNumberFormat="1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4" fontId="22" fillId="25" borderId="12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9"/>
  <sheetViews>
    <sheetView tabSelected="1" zoomScalePageLayoutView="0" workbookViewId="0" topLeftCell="A1">
      <selection activeCell="DP21" sqref="DP2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4.8515625" style="0" customWidth="1"/>
    <col min="4" max="4" width="10.00390625" style="0" customWidth="1"/>
    <col min="5" max="5" width="5.7109375" style="0" customWidth="1"/>
    <col min="6" max="6" width="3.28125" style="0" customWidth="1"/>
    <col min="7" max="7" width="3.8515625" style="0" customWidth="1"/>
    <col min="8" max="8" width="3.57421875" style="0" customWidth="1"/>
    <col min="9" max="9" width="5.00390625" style="0" customWidth="1"/>
    <col min="10" max="10" width="4.28125" style="0" customWidth="1"/>
    <col min="11" max="11" width="7.28125" style="0" customWidth="1"/>
    <col min="12" max="12" width="6.7109375" style="0" customWidth="1"/>
    <col min="13" max="13" width="7.00390625" style="0" customWidth="1"/>
    <col min="14" max="14" width="6.57421875" style="0" customWidth="1"/>
    <col min="15" max="15" width="7.00390625" style="0" customWidth="1"/>
    <col min="16" max="16" width="3.57421875" style="0" customWidth="1"/>
    <col min="17" max="17" width="6.28125" style="0" customWidth="1"/>
    <col min="18" max="18" width="3.7109375" style="0" customWidth="1"/>
    <col min="19" max="19" width="12.140625" style="0" customWidth="1"/>
    <col min="20" max="20" width="4.7109375" style="0" customWidth="1"/>
    <col min="21" max="21" width="7.421875" style="0" customWidth="1"/>
    <col min="22" max="22" width="7.00390625" style="0" customWidth="1"/>
    <col min="23" max="23" width="9.421875" style="0" customWidth="1"/>
    <col min="24" max="24" width="11.00390625" style="0" customWidth="1"/>
    <col min="25" max="25" width="10.28125" style="0" customWidth="1"/>
    <col min="26" max="26" width="3.8515625" style="0" customWidth="1"/>
    <col min="27" max="27" width="10.140625" style="0" customWidth="1"/>
    <col min="28" max="28" width="10.28125" style="0" customWidth="1"/>
    <col min="29" max="29" width="10.7109375" style="0" customWidth="1"/>
    <col min="30" max="30" width="5.140625" style="0" customWidth="1"/>
    <col min="31" max="31" width="12.57421875" style="0" customWidth="1"/>
    <col min="32" max="32" width="7.00390625" style="0" customWidth="1"/>
    <col min="33" max="33" width="12.7109375" style="0" customWidth="1"/>
    <col min="34" max="34" width="6.7109375" style="0" customWidth="1"/>
    <col min="35" max="35" width="13.8515625" style="0" customWidth="1"/>
    <col min="36" max="36" width="14.28125" style="0" customWidth="1"/>
    <col min="37" max="37" width="13.8515625" style="0" customWidth="1"/>
    <col min="38" max="38" width="12.00390625" style="0" customWidth="1"/>
    <col min="39" max="39" width="5.421875" style="0" customWidth="1"/>
    <col min="40" max="40" width="12.00390625" style="0" customWidth="1"/>
    <col min="41" max="41" width="6.28125" style="0" customWidth="1"/>
    <col min="42" max="42" width="15.140625" style="0" customWidth="1"/>
    <col min="43" max="43" width="7.140625" style="0" customWidth="1"/>
    <col min="44" max="44" width="14.140625" style="0" customWidth="1"/>
    <col min="45" max="45" width="12.28125" style="0" customWidth="1"/>
    <col min="46" max="46" width="15.57421875" style="0" customWidth="1"/>
    <col min="47" max="47" width="12.7109375" style="0" customWidth="1"/>
    <col min="48" max="48" width="4.57421875" style="0" customWidth="1"/>
    <col min="49" max="49" width="14.57421875" style="0" customWidth="1"/>
    <col min="50" max="50" width="6.421875" style="0" customWidth="1"/>
    <col min="51" max="51" width="13.28125" style="0" customWidth="1"/>
    <col min="53" max="53" width="10.00390625" style="0" customWidth="1"/>
    <col min="54" max="54" width="9.421875" style="0" customWidth="1"/>
    <col min="55" max="55" width="11.28125" style="0" customWidth="1"/>
    <col min="56" max="56" width="10.140625" style="0" bestFit="1" customWidth="1"/>
    <col min="57" max="57" width="10.140625" style="0" customWidth="1"/>
    <col min="58" max="58" width="7.140625" style="0" customWidth="1"/>
    <col min="59" max="59" width="17.00390625" style="0" customWidth="1"/>
    <col min="60" max="60" width="8.28125" style="0" customWidth="1"/>
    <col min="61" max="61" width="9.28125" style="0" customWidth="1"/>
    <col min="62" max="62" width="17.140625" style="0" customWidth="1"/>
    <col min="63" max="63" width="16.57421875" style="0" customWidth="1"/>
    <col min="64" max="64" width="18.00390625" style="0" customWidth="1"/>
    <col min="65" max="65" width="8.28125" style="0" customWidth="1"/>
    <col min="66" max="66" width="13.7109375" style="0" customWidth="1"/>
    <col min="67" max="67" width="6.28125" style="0" customWidth="1"/>
    <col min="68" max="68" width="12.00390625" style="0" customWidth="1"/>
    <col min="69" max="69" width="9.00390625" style="0" customWidth="1"/>
    <col min="70" max="70" width="9.7109375" style="0" customWidth="1"/>
    <col min="71" max="71" width="8.8515625" style="0" customWidth="1"/>
    <col min="72" max="73" width="9.8515625" style="0" customWidth="1"/>
    <col min="74" max="74" width="13.00390625" style="0" customWidth="1"/>
    <col min="75" max="75" width="6.8515625" style="0" customWidth="1"/>
    <col min="76" max="76" width="15.140625" style="0" customWidth="1"/>
    <col min="77" max="77" width="6.421875" style="0" customWidth="1"/>
    <col min="78" max="78" width="11.140625" style="0" customWidth="1"/>
    <col min="79" max="79" width="12.57421875" style="0" customWidth="1"/>
    <col min="80" max="80" width="11.57421875" style="0" customWidth="1"/>
    <col min="81" max="81" width="11.00390625" style="0" customWidth="1"/>
    <col min="82" max="82" width="11.57421875" style="0" customWidth="1"/>
    <col min="83" max="83" width="13.28125" style="0" customWidth="1"/>
    <col min="84" max="84" width="7.00390625" style="0" customWidth="1"/>
    <col min="85" max="85" width="14.8515625" style="0" customWidth="1"/>
    <col min="86" max="86" width="7.28125" style="0" customWidth="1"/>
    <col min="87" max="87" width="16.140625" style="0" customWidth="1"/>
    <col min="89" max="90" width="12.57421875" style="0" customWidth="1"/>
    <col min="91" max="91" width="14.7109375" style="0" customWidth="1"/>
    <col min="92" max="92" width="7.421875" style="0" customWidth="1"/>
    <col min="93" max="93" width="14.7109375" style="0" customWidth="1"/>
    <col min="94" max="94" width="8.421875" style="0" customWidth="1"/>
    <col min="95" max="95" width="13.00390625" style="0" customWidth="1"/>
    <col min="96" max="98" width="11.57421875" style="0" customWidth="1"/>
    <col min="99" max="99" width="11.140625" style="0" customWidth="1"/>
    <col min="100" max="100" width="11.7109375" style="0" customWidth="1"/>
    <col min="101" max="101" width="5.28125" style="0" customWidth="1"/>
    <col min="102" max="102" width="12.28125" style="0" customWidth="1"/>
    <col min="103" max="103" width="8.7109375" style="0" customWidth="1"/>
    <col min="104" max="104" width="6.7109375" style="0" customWidth="1"/>
    <col min="105" max="105" width="11.7109375" style="0" customWidth="1"/>
    <col min="106" max="106" width="14.00390625" style="0" customWidth="1"/>
    <col min="107" max="107" width="7.140625" style="0" customWidth="1"/>
    <col min="108" max="108" width="12.140625" style="0" customWidth="1"/>
    <col min="109" max="109" width="14.7109375" style="0" customWidth="1"/>
    <col min="110" max="110" width="8.7109375" style="0" customWidth="1"/>
    <col min="111" max="111" width="16.8515625" style="0" customWidth="1"/>
    <col min="112" max="112" width="8.28125" style="0" customWidth="1"/>
    <col min="113" max="113" width="13.421875" style="0" customWidth="1"/>
    <col min="114" max="114" width="15.28125" style="0" customWidth="1"/>
    <col min="115" max="115" width="17.00390625" style="0" customWidth="1"/>
  </cols>
  <sheetData>
    <row r="1" spans="1:100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70"/>
      <c r="S1" s="70"/>
      <c r="T1" s="70"/>
      <c r="CV1">
        <v>10</v>
      </c>
    </row>
    <row r="2" spans="1:116" ht="12" customHeigh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71"/>
      <c r="S2" s="71"/>
      <c r="T2" s="140" t="s">
        <v>130</v>
      </c>
      <c r="U2" s="140"/>
      <c r="V2" s="140"/>
      <c r="W2" s="140"/>
      <c r="X2" s="140"/>
      <c r="Y2" s="140"/>
      <c r="Z2" s="140"/>
      <c r="AA2" s="140"/>
      <c r="AC2">
        <v>2</v>
      </c>
      <c r="AE2" s="140" t="s">
        <v>130</v>
      </c>
      <c r="AF2" s="140"/>
      <c r="AG2" s="140"/>
      <c r="AH2" s="140"/>
      <c r="AI2" s="140"/>
      <c r="AJ2" s="140"/>
      <c r="AK2" s="140"/>
      <c r="AL2" s="140"/>
      <c r="AN2" s="140" t="s">
        <v>130</v>
      </c>
      <c r="AO2" s="140"/>
      <c r="AP2" s="140"/>
      <c r="AQ2" s="140"/>
      <c r="AR2" s="140"/>
      <c r="AS2" s="140"/>
      <c r="AT2" s="140"/>
      <c r="AU2" s="140"/>
      <c r="AV2" s="140" t="s">
        <v>130</v>
      </c>
      <c r="AW2" s="140"/>
      <c r="AX2" s="140"/>
      <c r="AY2" s="140"/>
      <c r="AZ2" s="140"/>
      <c r="BA2" s="140"/>
      <c r="BB2" s="140"/>
      <c r="BC2" s="140"/>
      <c r="BE2">
        <v>5</v>
      </c>
      <c r="BF2" s="140" t="s">
        <v>130</v>
      </c>
      <c r="BG2" s="140"/>
      <c r="BH2" s="140"/>
      <c r="BI2" s="140"/>
      <c r="BJ2" s="140"/>
      <c r="BK2" s="140"/>
      <c r="BL2" s="140"/>
      <c r="BM2" s="140"/>
      <c r="BN2" s="140" t="s">
        <v>130</v>
      </c>
      <c r="BO2" s="140"/>
      <c r="BP2" s="140"/>
      <c r="BQ2" s="140"/>
      <c r="BR2" s="140"/>
      <c r="BS2" s="140"/>
      <c r="BT2" s="140"/>
      <c r="BU2" s="140"/>
      <c r="BV2">
        <v>7</v>
      </c>
      <c r="BX2" s="140" t="s">
        <v>130</v>
      </c>
      <c r="BY2" s="140"/>
      <c r="BZ2" s="140"/>
      <c r="CA2" s="140"/>
      <c r="CB2" s="140"/>
      <c r="CC2" s="140"/>
      <c r="CD2" s="140"/>
      <c r="CE2" s="140"/>
      <c r="CG2" s="140" t="s">
        <v>130</v>
      </c>
      <c r="CH2" s="140"/>
      <c r="CI2" s="140"/>
      <c r="CJ2" s="140"/>
      <c r="CK2" s="140"/>
      <c r="CL2" s="140"/>
      <c r="CM2" s="140"/>
      <c r="CN2" s="140"/>
      <c r="CO2" s="141" t="s">
        <v>131</v>
      </c>
      <c r="CP2" s="141"/>
      <c r="CQ2" s="141"/>
      <c r="CR2" s="141"/>
      <c r="CS2" s="141"/>
      <c r="CT2" s="141"/>
      <c r="CU2" s="141"/>
      <c r="CV2" s="141"/>
      <c r="DE2">
        <v>11</v>
      </c>
      <c r="DL2">
        <v>12</v>
      </c>
    </row>
    <row r="3" spans="1:113" ht="12" customHeight="1" thickBot="1">
      <c r="A3" s="71"/>
      <c r="B3" s="142" t="s">
        <v>115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71"/>
      <c r="S3" s="71"/>
      <c r="T3" s="71"/>
      <c r="AL3">
        <v>3</v>
      </c>
      <c r="AU3">
        <v>4</v>
      </c>
      <c r="BL3">
        <v>6</v>
      </c>
      <c r="CE3">
        <v>8</v>
      </c>
      <c r="CM3">
        <v>9</v>
      </c>
      <c r="CU3" s="143" t="s">
        <v>126</v>
      </c>
      <c r="CV3" s="143"/>
      <c r="CW3" s="70"/>
      <c r="CX3" s="70"/>
      <c r="CY3" s="70"/>
      <c r="CZ3" s="23" t="s">
        <v>128</v>
      </c>
      <c r="DI3" s="23" t="s">
        <v>129</v>
      </c>
    </row>
    <row r="4" spans="1:115" ht="37.5" customHeight="1">
      <c r="A4" s="1" t="s">
        <v>4</v>
      </c>
      <c r="B4" s="1" t="s">
        <v>5</v>
      </c>
      <c r="C4" s="89" t="s">
        <v>6</v>
      </c>
      <c r="D4" s="90" t="s">
        <v>87</v>
      </c>
      <c r="E4" s="91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2" t="s">
        <v>13</v>
      </c>
      <c r="L4" s="91" t="s">
        <v>14</v>
      </c>
      <c r="M4" s="91" t="s">
        <v>15</v>
      </c>
      <c r="N4" s="5" t="s">
        <v>16</v>
      </c>
      <c r="O4" s="102" t="s">
        <v>17</v>
      </c>
      <c r="P4" s="5" t="s">
        <v>18</v>
      </c>
      <c r="Q4" s="91" t="s">
        <v>19</v>
      </c>
      <c r="R4" s="1" t="s">
        <v>4</v>
      </c>
      <c r="S4" s="1" t="s">
        <v>5</v>
      </c>
      <c r="T4" s="89" t="s">
        <v>6</v>
      </c>
      <c r="U4" s="91" t="s">
        <v>20</v>
      </c>
      <c r="V4" s="91" t="s">
        <v>21</v>
      </c>
      <c r="W4" s="97" t="s">
        <v>116</v>
      </c>
      <c r="X4" s="90" t="s">
        <v>22</v>
      </c>
      <c r="Y4" s="90" t="s">
        <v>23</v>
      </c>
      <c r="Z4" s="91" t="s">
        <v>24</v>
      </c>
      <c r="AA4" s="5" t="s">
        <v>123</v>
      </c>
      <c r="AB4" s="5" t="s">
        <v>25</v>
      </c>
      <c r="AC4" s="69" t="s">
        <v>124</v>
      </c>
      <c r="AD4" s="1" t="s">
        <v>4</v>
      </c>
      <c r="AE4" s="1" t="s">
        <v>5</v>
      </c>
      <c r="AF4" s="89" t="s">
        <v>6</v>
      </c>
      <c r="AG4" s="91" t="s">
        <v>117</v>
      </c>
      <c r="AH4" s="91" t="s">
        <v>26</v>
      </c>
      <c r="AI4" s="5" t="s">
        <v>95</v>
      </c>
      <c r="AJ4" s="91" t="s">
        <v>27</v>
      </c>
      <c r="AK4" s="91" t="s">
        <v>28</v>
      </c>
      <c r="AL4" s="91" t="s">
        <v>29</v>
      </c>
      <c r="AM4" s="1" t="s">
        <v>4</v>
      </c>
      <c r="AN4" s="1" t="s">
        <v>5</v>
      </c>
      <c r="AO4" s="89" t="s">
        <v>6</v>
      </c>
      <c r="AP4" s="105" t="s">
        <v>2</v>
      </c>
      <c r="AQ4" s="102" t="s">
        <v>26</v>
      </c>
      <c r="AR4" s="105" t="s">
        <v>30</v>
      </c>
      <c r="AS4" s="102" t="s">
        <v>31</v>
      </c>
      <c r="AT4" s="5" t="s">
        <v>110</v>
      </c>
      <c r="AU4" s="102" t="s">
        <v>32</v>
      </c>
      <c r="AV4" s="1" t="s">
        <v>4</v>
      </c>
      <c r="AW4" s="1" t="s">
        <v>5</v>
      </c>
      <c r="AX4" s="89" t="s">
        <v>6</v>
      </c>
      <c r="AY4" s="5" t="s">
        <v>91</v>
      </c>
      <c r="AZ4" s="5" t="s">
        <v>92</v>
      </c>
      <c r="BA4" s="5" t="s">
        <v>113</v>
      </c>
      <c r="BB4" s="5" t="s">
        <v>93</v>
      </c>
      <c r="BC4" s="5" t="s">
        <v>98</v>
      </c>
      <c r="BD4" s="5" t="s">
        <v>111</v>
      </c>
      <c r="BE4" s="5" t="s">
        <v>112</v>
      </c>
      <c r="BF4" s="1" t="s">
        <v>4</v>
      </c>
      <c r="BG4" s="1" t="s">
        <v>5</v>
      </c>
      <c r="BH4" s="89" t="s">
        <v>6</v>
      </c>
      <c r="BI4" s="5" t="s">
        <v>33</v>
      </c>
      <c r="BJ4" s="5" t="s">
        <v>95</v>
      </c>
      <c r="BK4" s="102" t="s">
        <v>35</v>
      </c>
      <c r="BL4" s="5" t="s">
        <v>36</v>
      </c>
      <c r="BM4" s="1" t="s">
        <v>4</v>
      </c>
      <c r="BN4" s="1" t="s">
        <v>5</v>
      </c>
      <c r="BO4" s="89" t="s">
        <v>6</v>
      </c>
      <c r="BP4" s="5" t="s">
        <v>103</v>
      </c>
      <c r="BQ4" s="102" t="s">
        <v>100</v>
      </c>
      <c r="BR4" s="102" t="s">
        <v>99</v>
      </c>
      <c r="BS4" s="102" t="s">
        <v>101</v>
      </c>
      <c r="BT4" s="5" t="s">
        <v>88</v>
      </c>
      <c r="BU4" s="5" t="s">
        <v>89</v>
      </c>
      <c r="BV4" s="5" t="s">
        <v>125</v>
      </c>
      <c r="BW4" s="1" t="s">
        <v>4</v>
      </c>
      <c r="BX4" s="1" t="s">
        <v>5</v>
      </c>
      <c r="BY4" s="89" t="s">
        <v>6</v>
      </c>
      <c r="BZ4" s="91" t="s">
        <v>37</v>
      </c>
      <c r="CA4" s="102" t="s">
        <v>38</v>
      </c>
      <c r="CB4" s="102" t="s">
        <v>114</v>
      </c>
      <c r="CC4" s="5" t="s">
        <v>90</v>
      </c>
      <c r="CD4" s="5" t="s">
        <v>39</v>
      </c>
      <c r="CE4" s="91" t="s">
        <v>102</v>
      </c>
      <c r="CF4" s="1" t="s">
        <v>4</v>
      </c>
      <c r="CG4" s="1" t="s">
        <v>5</v>
      </c>
      <c r="CH4" s="89" t="s">
        <v>6</v>
      </c>
      <c r="CI4" s="102" t="s">
        <v>118</v>
      </c>
      <c r="CJ4" s="5" t="s">
        <v>85</v>
      </c>
      <c r="CK4" s="102" t="s">
        <v>34</v>
      </c>
      <c r="CL4" s="102" t="s">
        <v>40</v>
      </c>
      <c r="CM4" s="105" t="s">
        <v>104</v>
      </c>
      <c r="CN4" s="1" t="s">
        <v>4</v>
      </c>
      <c r="CO4" s="1" t="s">
        <v>5</v>
      </c>
      <c r="CP4" s="89" t="s">
        <v>6</v>
      </c>
      <c r="CQ4" s="105" t="s">
        <v>3</v>
      </c>
      <c r="CR4" s="110" t="s">
        <v>105</v>
      </c>
      <c r="CS4" s="110" t="s">
        <v>97</v>
      </c>
      <c r="CT4" s="111" t="s">
        <v>96</v>
      </c>
      <c r="CU4" s="124" t="s">
        <v>127</v>
      </c>
      <c r="CV4" s="125" t="s">
        <v>120</v>
      </c>
      <c r="CW4" s="76" t="s">
        <v>4</v>
      </c>
      <c r="CX4" s="77" t="s">
        <v>5</v>
      </c>
      <c r="CY4" s="78" t="s">
        <v>6</v>
      </c>
      <c r="CZ4" s="80" t="s">
        <v>121</v>
      </c>
      <c r="DA4" s="113" t="s">
        <v>119</v>
      </c>
      <c r="DB4" s="123" t="s">
        <v>120</v>
      </c>
      <c r="DC4" s="72" t="s">
        <v>41</v>
      </c>
      <c r="DD4" s="73" t="s">
        <v>108</v>
      </c>
      <c r="DE4" s="74" t="s">
        <v>109</v>
      </c>
      <c r="DF4" s="76" t="s">
        <v>4</v>
      </c>
      <c r="DG4" s="77" t="s">
        <v>5</v>
      </c>
      <c r="DH4" s="78" t="s">
        <v>6</v>
      </c>
      <c r="DI4" s="80" t="s">
        <v>122</v>
      </c>
      <c r="DJ4" s="113" t="s">
        <v>119</v>
      </c>
      <c r="DK4" s="79" t="s">
        <v>120</v>
      </c>
    </row>
    <row r="5" spans="1:115" ht="1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</v>
      </c>
      <c r="S5" s="1">
        <v>2</v>
      </c>
      <c r="T5" s="1">
        <v>3</v>
      </c>
      <c r="U5" s="1">
        <v>18</v>
      </c>
      <c r="V5" s="1">
        <v>19</v>
      </c>
      <c r="W5" s="1">
        <v>20</v>
      </c>
      <c r="X5" s="1">
        <v>21</v>
      </c>
      <c r="Y5" s="1">
        <v>22</v>
      </c>
      <c r="Z5" s="1">
        <v>23</v>
      </c>
      <c r="AA5" s="1">
        <v>24</v>
      </c>
      <c r="AB5" s="1">
        <v>25</v>
      </c>
      <c r="AC5" s="1">
        <v>26</v>
      </c>
      <c r="AD5" s="1">
        <v>1</v>
      </c>
      <c r="AE5" s="1">
        <v>2</v>
      </c>
      <c r="AF5" s="1">
        <v>3</v>
      </c>
      <c r="AG5" s="1">
        <v>27</v>
      </c>
      <c r="AH5" s="1">
        <v>28</v>
      </c>
      <c r="AI5" s="1">
        <v>29</v>
      </c>
      <c r="AJ5" s="1">
        <v>30</v>
      </c>
      <c r="AK5" s="1">
        <v>31</v>
      </c>
      <c r="AL5" s="1">
        <v>32</v>
      </c>
      <c r="AM5" s="1">
        <v>1</v>
      </c>
      <c r="AN5" s="1">
        <v>2</v>
      </c>
      <c r="AO5" s="1">
        <v>3</v>
      </c>
      <c r="AP5" s="1">
        <v>33</v>
      </c>
      <c r="AQ5" s="1">
        <v>34</v>
      </c>
      <c r="AR5" s="1">
        <v>35</v>
      </c>
      <c r="AS5" s="1">
        <v>36</v>
      </c>
      <c r="AT5" s="1">
        <v>37</v>
      </c>
      <c r="AU5" s="1">
        <v>38</v>
      </c>
      <c r="AV5" s="1">
        <v>1</v>
      </c>
      <c r="AW5" s="1">
        <v>2</v>
      </c>
      <c r="AX5" s="1">
        <v>3</v>
      </c>
      <c r="AY5" s="1">
        <v>39</v>
      </c>
      <c r="AZ5" s="1">
        <v>40</v>
      </c>
      <c r="BA5" s="1"/>
      <c r="BB5" s="1">
        <v>42</v>
      </c>
      <c r="BC5" s="1">
        <v>43</v>
      </c>
      <c r="BD5" s="1">
        <v>44</v>
      </c>
      <c r="BE5" s="1"/>
      <c r="BF5" s="1">
        <v>1</v>
      </c>
      <c r="BG5" s="1">
        <v>2</v>
      </c>
      <c r="BH5" s="1">
        <v>3</v>
      </c>
      <c r="BI5" s="1">
        <v>46</v>
      </c>
      <c r="BJ5" s="1">
        <v>47</v>
      </c>
      <c r="BK5" s="1">
        <v>48</v>
      </c>
      <c r="BL5" s="1">
        <v>49</v>
      </c>
      <c r="BM5" s="1">
        <v>1</v>
      </c>
      <c r="BN5" s="1">
        <v>2</v>
      </c>
      <c r="BO5" s="1">
        <v>3</v>
      </c>
      <c r="BP5" s="1">
        <v>50</v>
      </c>
      <c r="BQ5" s="1">
        <v>51</v>
      </c>
      <c r="BR5" s="1">
        <v>52</v>
      </c>
      <c r="BS5" s="1">
        <v>53</v>
      </c>
      <c r="BT5" s="1">
        <v>54</v>
      </c>
      <c r="BU5" s="1">
        <v>55</v>
      </c>
      <c r="BV5" s="1">
        <v>56</v>
      </c>
      <c r="BW5" s="1">
        <v>1</v>
      </c>
      <c r="BX5" s="1">
        <v>2</v>
      </c>
      <c r="BY5" s="1">
        <v>3</v>
      </c>
      <c r="BZ5" s="1">
        <v>57</v>
      </c>
      <c r="CA5" s="1">
        <v>58</v>
      </c>
      <c r="CB5" s="1">
        <v>59</v>
      </c>
      <c r="CC5" s="1">
        <v>60</v>
      </c>
      <c r="CD5" s="1">
        <v>61</v>
      </c>
      <c r="CE5" s="1">
        <v>62</v>
      </c>
      <c r="CF5" s="1">
        <v>1</v>
      </c>
      <c r="CG5" s="1">
        <v>2</v>
      </c>
      <c r="CH5" s="1">
        <v>3</v>
      </c>
      <c r="CI5" s="1">
        <v>63</v>
      </c>
      <c r="CJ5" s="1">
        <v>64</v>
      </c>
      <c r="CK5" s="1">
        <v>65</v>
      </c>
      <c r="CL5" s="1">
        <v>66</v>
      </c>
      <c r="CM5" s="1">
        <v>67</v>
      </c>
      <c r="CN5" s="1">
        <v>1</v>
      </c>
      <c r="CO5" s="1">
        <v>2</v>
      </c>
      <c r="CP5" s="1">
        <v>3</v>
      </c>
      <c r="CQ5" s="1">
        <v>68</v>
      </c>
      <c r="CR5" s="1">
        <v>69</v>
      </c>
      <c r="CS5" s="1">
        <v>70</v>
      </c>
      <c r="CT5" s="98">
        <v>71</v>
      </c>
      <c r="CU5" s="119">
        <v>72</v>
      </c>
      <c r="CV5" s="120">
        <v>73</v>
      </c>
      <c r="CW5" s="81">
        <v>1</v>
      </c>
      <c r="CX5" s="1">
        <v>2</v>
      </c>
      <c r="CY5" s="1">
        <v>3</v>
      </c>
      <c r="CZ5" s="100">
        <v>74</v>
      </c>
      <c r="DA5" s="1">
        <v>75</v>
      </c>
      <c r="DB5" s="1">
        <v>76</v>
      </c>
      <c r="DC5" s="1">
        <v>77</v>
      </c>
      <c r="DD5" s="1">
        <v>78</v>
      </c>
      <c r="DE5" s="82">
        <v>79</v>
      </c>
      <c r="DF5" s="81">
        <v>1</v>
      </c>
      <c r="DG5" s="1">
        <v>2</v>
      </c>
      <c r="DH5" s="1">
        <v>3</v>
      </c>
      <c r="DI5" s="100">
        <v>80</v>
      </c>
      <c r="DJ5" s="1">
        <v>81</v>
      </c>
      <c r="DK5" s="82">
        <v>82</v>
      </c>
    </row>
    <row r="6" spans="1:117" ht="12" customHeight="1">
      <c r="A6" s="27">
        <v>1</v>
      </c>
      <c r="B6" s="28" t="s">
        <v>42</v>
      </c>
      <c r="C6" s="29">
        <v>1</v>
      </c>
      <c r="D6" s="30">
        <v>3728.3</v>
      </c>
      <c r="E6" s="36">
        <v>1981</v>
      </c>
      <c r="F6" s="37">
        <v>2</v>
      </c>
      <c r="G6" s="37">
        <v>9</v>
      </c>
      <c r="H6" s="37">
        <v>2</v>
      </c>
      <c r="I6" s="37">
        <v>72</v>
      </c>
      <c r="J6" s="37"/>
      <c r="K6" s="38">
        <v>464.42</v>
      </c>
      <c r="L6" s="39">
        <f>1270</f>
        <v>1270</v>
      </c>
      <c r="M6" s="40">
        <v>0</v>
      </c>
      <c r="N6" s="40">
        <v>2496</v>
      </c>
      <c r="O6" s="40">
        <v>1900</v>
      </c>
      <c r="P6" s="37">
        <v>2</v>
      </c>
      <c r="Q6" s="41" t="s">
        <v>43</v>
      </c>
      <c r="R6" s="27">
        <v>1</v>
      </c>
      <c r="S6" s="93" t="s">
        <v>42</v>
      </c>
      <c r="T6" s="96">
        <v>1</v>
      </c>
      <c r="U6" s="42" t="s">
        <v>44</v>
      </c>
      <c r="V6" s="40">
        <v>559</v>
      </c>
      <c r="W6" s="31">
        <f>Y6-X6</f>
        <v>-32580.01000000001</v>
      </c>
      <c r="X6" s="31">
        <v>1223074.12</v>
      </c>
      <c r="Y6" s="31">
        <v>1190494.11</v>
      </c>
      <c r="Z6" s="103">
        <f>Y6/X6*100</f>
        <v>97.33621949256845</v>
      </c>
      <c r="AA6" s="31">
        <f>Y6-AB6</f>
        <v>-162263.5078424497</v>
      </c>
      <c r="AB6" s="31">
        <f>AC6*1.18</f>
        <v>1352757.6178424498</v>
      </c>
      <c r="AC6" s="32">
        <f aca="true" t="shared" si="0" ref="AC6:AC37">AG6+AP6+BP6+CI6+CQ6+CR6+CS6+CT6</f>
        <v>1146404.760883432</v>
      </c>
      <c r="AD6" s="27">
        <v>1</v>
      </c>
      <c r="AE6" s="93" t="s">
        <v>42</v>
      </c>
      <c r="AF6" s="96">
        <v>1</v>
      </c>
      <c r="AG6" s="30">
        <f>AK6+AL6</f>
        <v>254266.5501582181</v>
      </c>
      <c r="AH6" s="30">
        <f>2.58*1.078</f>
        <v>2.7812400000000004</v>
      </c>
      <c r="AI6" s="30">
        <f>5912133.53/84.85*AH6</f>
        <v>193789.77323485215</v>
      </c>
      <c r="AJ6" s="30">
        <f>1399401.11/5912133.53*AI6</f>
        <v>45870.00993725871</v>
      </c>
      <c r="AK6" s="30">
        <f aca="true" t="shared" si="1" ref="AK6:AK67">AI6+AJ6</f>
        <v>239659.78317211085</v>
      </c>
      <c r="AL6" s="30">
        <f>445622.88/84.85*AH6</f>
        <v>14606.766986107252</v>
      </c>
      <c r="AM6" s="27">
        <v>1</v>
      </c>
      <c r="AN6" s="93" t="s">
        <v>42</v>
      </c>
      <c r="AO6" s="96">
        <v>1</v>
      </c>
      <c r="AP6" s="30">
        <f aca="true" t="shared" si="2" ref="AP6:AP67">AR6+AS6+AT6+AU6+AY6+BJ6+BK6+BL6</f>
        <v>312966.82311678625</v>
      </c>
      <c r="AQ6" s="30">
        <f>(0.807+0.018)*1.003</f>
        <v>0.827475</v>
      </c>
      <c r="AR6" s="30">
        <f>8118409.69/63.15*AQ6</f>
        <v>106378.1640258551</v>
      </c>
      <c r="AS6" s="30">
        <f>2243452.39/8118409.69*AR6</f>
        <v>29396.68672074822</v>
      </c>
      <c r="AT6" s="9">
        <v>52806.72</v>
      </c>
      <c r="AU6" s="22">
        <f>117291.18/74.15*(AQ6+BI6)</f>
        <v>1624.5218096481487</v>
      </c>
      <c r="AV6" s="27">
        <v>1</v>
      </c>
      <c r="AW6" s="93" t="s">
        <v>42</v>
      </c>
      <c r="AX6" s="96">
        <v>1</v>
      </c>
      <c r="AY6" s="22">
        <f>AZ6+BA6+BB6+BC6+BE6+BD6</f>
        <v>69665.24</v>
      </c>
      <c r="AZ6" s="30">
        <f>1392.5+1392.5</f>
        <v>2785</v>
      </c>
      <c r="BA6" s="22">
        <v>66880.24</v>
      </c>
      <c r="BB6" s="22"/>
      <c r="BC6" s="22"/>
      <c r="BD6" s="22"/>
      <c r="BE6" s="22"/>
      <c r="BF6" s="27">
        <v>1</v>
      </c>
      <c r="BG6" s="93" t="s">
        <v>42</v>
      </c>
      <c r="BH6" s="96">
        <v>1</v>
      </c>
      <c r="BI6" s="31">
        <f>11/205542.47*D6</f>
        <v>0.19952713422194449</v>
      </c>
      <c r="BJ6" s="31">
        <f>1737539.27/11*BI6</f>
        <v>31516.930103744493</v>
      </c>
      <c r="BK6" s="30">
        <f>488865.21/1737539.27*BJ6</f>
        <v>8867.443124737189</v>
      </c>
      <c r="BL6" s="106">
        <f>700768.3/205542.47*D6</f>
        <v>12711.117332053082</v>
      </c>
      <c r="BM6" s="27">
        <v>1</v>
      </c>
      <c r="BN6" s="93" t="s">
        <v>42</v>
      </c>
      <c r="BO6" s="96">
        <v>1</v>
      </c>
      <c r="BP6" s="30">
        <f aca="true" t="shared" si="3" ref="BP6:BP37">BT6+BQ6+BR6+BS6+BU6+BV6+BZ6+CA6+CB6+CC6+CD6+CE6</f>
        <v>252973.35228700715</v>
      </c>
      <c r="BQ6" s="30"/>
      <c r="BR6" s="22">
        <f>105219.65/205542.47*D6</f>
        <v>1908.5613843941837</v>
      </c>
      <c r="BS6" s="30">
        <f>28000/37*2</f>
        <v>1513.5135135135135</v>
      </c>
      <c r="BT6" s="30">
        <f>151689.01/37*2</f>
        <v>8199.405945945946</v>
      </c>
      <c r="BU6" s="30">
        <f>40499.84/37*2</f>
        <v>2189.1805405405403</v>
      </c>
      <c r="BV6" s="30">
        <f>4353627.16/37*2</f>
        <v>235331.19783783786</v>
      </c>
      <c r="BW6" s="27">
        <v>1</v>
      </c>
      <c r="BX6" s="93" t="s">
        <v>42</v>
      </c>
      <c r="BY6" s="96">
        <v>1</v>
      </c>
      <c r="BZ6" s="30">
        <f>23455.8/4329*I6</f>
        <v>390.1172557172557</v>
      </c>
      <c r="CA6" s="30"/>
      <c r="CB6" s="30"/>
      <c r="CC6" s="30"/>
      <c r="CD6" s="30"/>
      <c r="CE6" s="30">
        <f>189724.24/205542.47*D6</f>
        <v>3441.375809057856</v>
      </c>
      <c r="CF6" s="27">
        <v>1</v>
      </c>
      <c r="CG6" s="93" t="s">
        <v>42</v>
      </c>
      <c r="CH6" s="96">
        <v>1</v>
      </c>
      <c r="CI6" s="38">
        <f aca="true" t="shared" si="4" ref="CI6:CI67">CK6+CL6+CM6</f>
        <v>220019.09149097023</v>
      </c>
      <c r="CJ6" s="38">
        <f>39.6/205542.47*D6</f>
        <v>0.7182976831990002</v>
      </c>
      <c r="CK6" s="30">
        <f>8635687.36/39.6*CJ6</f>
        <v>156641.26827067905</v>
      </c>
      <c r="CL6" s="30">
        <f>2437079.29/8635687.36*CK6</f>
        <v>44205.76787321375</v>
      </c>
      <c r="CM6" s="30">
        <f>1056962.05/39.6*CJ6</f>
        <v>19172.05534707742</v>
      </c>
      <c r="CN6" s="27">
        <v>1</v>
      </c>
      <c r="CO6" s="93" t="s">
        <v>42</v>
      </c>
      <c r="CP6" s="96">
        <v>1</v>
      </c>
      <c r="CQ6" s="30">
        <f>4125943.48/205542.47*D6</f>
        <v>74839.7889569197</v>
      </c>
      <c r="CR6" s="22">
        <f>344606.75/205542.47*D6</f>
        <v>6250.763387367098</v>
      </c>
      <c r="CS6" s="22">
        <f>1331104.09/205542.47*D6</f>
        <v>24144.67131170994</v>
      </c>
      <c r="CT6" s="109">
        <f>52027.62/205542.47*D6</f>
        <v>943.7201744534842</v>
      </c>
      <c r="CU6" s="126">
        <f>146412.28+57565.24</f>
        <v>203977.52</v>
      </c>
      <c r="CV6" s="127">
        <f>51560.21+145708.15</f>
        <v>197268.36</v>
      </c>
      <c r="CW6" s="83">
        <v>1</v>
      </c>
      <c r="CX6" s="93" t="s">
        <v>42</v>
      </c>
      <c r="CY6" s="96">
        <v>1</v>
      </c>
      <c r="CZ6" s="114">
        <v>7.3</v>
      </c>
      <c r="DA6" s="30">
        <v>190093.61</v>
      </c>
      <c r="DB6" s="30">
        <f>171940.34+1460.42</f>
        <v>173400.76</v>
      </c>
      <c r="DC6" s="34" t="s">
        <v>94</v>
      </c>
      <c r="DD6" s="33">
        <v>529910</v>
      </c>
      <c r="DE6" s="115">
        <v>0</v>
      </c>
      <c r="DF6" s="83">
        <v>1</v>
      </c>
      <c r="DG6" s="93" t="s">
        <v>42</v>
      </c>
      <c r="DH6" s="96">
        <v>1</v>
      </c>
      <c r="DI6" s="114">
        <v>7.3</v>
      </c>
      <c r="DJ6" s="130">
        <f>2681.06+27761.17</f>
        <v>30442.23</v>
      </c>
      <c r="DK6" s="131">
        <f>23510.82+2859.53</f>
        <v>26370.35</v>
      </c>
      <c r="DL6" s="35"/>
      <c r="DM6" s="35"/>
    </row>
    <row r="7" spans="1:117" ht="12" customHeight="1">
      <c r="A7" s="6">
        <v>2</v>
      </c>
      <c r="B7" s="7" t="s">
        <v>42</v>
      </c>
      <c r="C7" s="8" t="s">
        <v>45</v>
      </c>
      <c r="D7" s="2">
        <v>1930.6</v>
      </c>
      <c r="E7" s="44">
        <v>1958</v>
      </c>
      <c r="F7" s="45">
        <v>4</v>
      </c>
      <c r="G7" s="45">
        <v>3</v>
      </c>
      <c r="H7" s="45"/>
      <c r="I7" s="45">
        <v>30</v>
      </c>
      <c r="J7" s="45"/>
      <c r="K7" s="46">
        <v>202</v>
      </c>
      <c r="L7" s="47">
        <f>1510+530+723</f>
        <v>2763</v>
      </c>
      <c r="M7" s="48">
        <v>0</v>
      </c>
      <c r="N7" s="48">
        <v>0</v>
      </c>
      <c r="O7" s="48">
        <v>4007</v>
      </c>
      <c r="P7" s="45"/>
      <c r="Q7" s="49" t="s">
        <v>46</v>
      </c>
      <c r="R7" s="6">
        <v>2</v>
      </c>
      <c r="S7" s="94" t="s">
        <v>42</v>
      </c>
      <c r="T7" s="14" t="s">
        <v>45</v>
      </c>
      <c r="U7" s="50" t="s">
        <v>47</v>
      </c>
      <c r="V7" s="48">
        <v>1101</v>
      </c>
      <c r="W7" s="31">
        <f aca="true" t="shared" si="5" ref="W7:W67">Y7-X7</f>
        <v>-35657.51000000001</v>
      </c>
      <c r="X7" s="3">
        <v>467632.25</v>
      </c>
      <c r="Y7" s="3">
        <v>431974.74</v>
      </c>
      <c r="Z7" s="104">
        <f aca="true" t="shared" si="6" ref="Z7:Z67">Y7/X7*100</f>
        <v>92.37488218573462</v>
      </c>
      <c r="AA7" s="3">
        <f aca="true" t="shared" si="7" ref="AA7:AA66">Y7-AB7</f>
        <v>-132794.2690660538</v>
      </c>
      <c r="AB7" s="3">
        <f aca="true" t="shared" si="8" ref="AB7:AB67">AC7*1.18</f>
        <v>564769.0090660538</v>
      </c>
      <c r="AC7" s="32">
        <f t="shared" si="0"/>
        <v>478617.8042932659</v>
      </c>
      <c r="AD7" s="6">
        <v>2</v>
      </c>
      <c r="AE7" s="94" t="s">
        <v>42</v>
      </c>
      <c r="AF7" s="14" t="s">
        <v>45</v>
      </c>
      <c r="AG7" s="2">
        <f aca="true" t="shared" si="9" ref="AG7:AG67">AK7+AL7</f>
        <v>148814.91889105013</v>
      </c>
      <c r="AH7" s="2">
        <f>1.51*1.078</f>
        <v>1.62778</v>
      </c>
      <c r="AI7" s="30">
        <f aca="true" t="shared" si="10" ref="AI7:AI67">5912133.53/84.85*AH7</f>
        <v>113419.59596303361</v>
      </c>
      <c r="AJ7" s="30">
        <f aca="true" t="shared" si="11" ref="AJ7:AJ67">1399401.11/5912133.53*AI7</f>
        <v>26846.401164829706</v>
      </c>
      <c r="AK7" s="2">
        <f t="shared" si="1"/>
        <v>140265.99712786332</v>
      </c>
      <c r="AL7" s="30">
        <f aca="true" t="shared" si="12" ref="AL7:AL67">445622.88/84.85*AH7</f>
        <v>8548.921763186801</v>
      </c>
      <c r="AM7" s="6">
        <v>2</v>
      </c>
      <c r="AN7" s="94" t="s">
        <v>42</v>
      </c>
      <c r="AO7" s="14" t="s">
        <v>45</v>
      </c>
      <c r="AP7" s="30">
        <f t="shared" si="2"/>
        <v>155737.12550116595</v>
      </c>
      <c r="AQ7" s="2">
        <f>(0.634+0.018)*1.003</f>
        <v>0.653956</v>
      </c>
      <c r="AR7" s="30">
        <f aca="true" t="shared" si="13" ref="AR7:AR67">8118409.69/63.15*AQ7</f>
        <v>84070.9853877061</v>
      </c>
      <c r="AS7" s="30">
        <f aca="true" t="shared" si="14" ref="AS7:AS67">2243452.39/8118409.69*AR7</f>
        <v>23232.29059627617</v>
      </c>
      <c r="AT7" s="9">
        <v>19741.91</v>
      </c>
      <c r="AU7" s="22">
        <f aca="true" t="shared" si="15" ref="AU7:AU67">117291.18/74.15*(AQ7+BI7)</f>
        <v>1197.8660584576198</v>
      </c>
      <c r="AV7" s="6">
        <v>2</v>
      </c>
      <c r="AW7" s="94" t="s">
        <v>42</v>
      </c>
      <c r="AX7" s="14" t="s">
        <v>45</v>
      </c>
      <c r="AY7" s="22">
        <f aca="true" t="shared" si="16" ref="AY7:AY67">AZ7+BA7+BB7+BC7+BE7+BD7</f>
        <v>0</v>
      </c>
      <c r="AZ7" s="12"/>
      <c r="BA7" s="12"/>
      <c r="BB7" s="12"/>
      <c r="BC7" s="12"/>
      <c r="BD7" s="12"/>
      <c r="BE7" s="12"/>
      <c r="BF7" s="6">
        <v>2</v>
      </c>
      <c r="BG7" s="94" t="s">
        <v>42</v>
      </c>
      <c r="BH7" s="14" t="s">
        <v>45</v>
      </c>
      <c r="BI7" s="31">
        <f aca="true" t="shared" si="17" ref="BI7:BI67">11/205542.47*D7</f>
        <v>0.10331976646967411</v>
      </c>
      <c r="BJ7" s="31">
        <f aca="true" t="shared" si="18" ref="BJ7:BJ67">1737539.27/11*BI7</f>
        <v>16320.195600753457</v>
      </c>
      <c r="BK7" s="30">
        <f aca="true" t="shared" si="19" ref="BK7:BK67">488865.21/1737539.27*BJ7</f>
        <v>4591.767212031654</v>
      </c>
      <c r="BL7" s="106">
        <f aca="true" t="shared" si="20" ref="BL7:BL67">700768.3/205542.47*D7</f>
        <v>6582.110645940958</v>
      </c>
      <c r="BM7" s="6">
        <v>2</v>
      </c>
      <c r="BN7" s="94" t="s">
        <v>42</v>
      </c>
      <c r="BO7" s="14" t="s">
        <v>45</v>
      </c>
      <c r="BP7" s="30">
        <f t="shared" si="3"/>
        <v>5152.870114408606</v>
      </c>
      <c r="BQ7" s="30"/>
      <c r="BR7" s="22">
        <f aca="true" t="shared" si="21" ref="BR7:BR67">105219.65/205542.47*D7</f>
        <v>988.2972423655315</v>
      </c>
      <c r="BS7" s="2"/>
      <c r="BT7" s="2"/>
      <c r="BU7" s="2"/>
      <c r="BV7" s="2"/>
      <c r="BW7" s="6">
        <v>2</v>
      </c>
      <c r="BX7" s="94" t="s">
        <v>42</v>
      </c>
      <c r="BY7" s="14" t="s">
        <v>45</v>
      </c>
      <c r="BZ7" s="30">
        <f aca="true" t="shared" si="22" ref="BZ7:BZ67">23455.8/4329*I7</f>
        <v>162.54885654885655</v>
      </c>
      <c r="CA7" s="2">
        <f>18.5*I7*4</f>
        <v>2220</v>
      </c>
      <c r="CB7" s="2"/>
      <c r="CC7" s="2"/>
      <c r="CD7" s="2"/>
      <c r="CE7" s="30">
        <f aca="true" t="shared" si="23" ref="CE7:CE67">189724.24/205542.47*D7</f>
        <v>1782.0240154942187</v>
      </c>
      <c r="CF7" s="6">
        <v>2</v>
      </c>
      <c r="CG7" s="94" t="s">
        <v>42</v>
      </c>
      <c r="CH7" s="14" t="s">
        <v>45</v>
      </c>
      <c r="CI7" s="46">
        <f t="shared" si="4"/>
        <v>113930.97605677307</v>
      </c>
      <c r="CJ7" s="38">
        <f aca="true" t="shared" si="24" ref="CJ7:CJ67">39.6/205542.47*D7</f>
        <v>0.37195115929082684</v>
      </c>
      <c r="CK7" s="30">
        <f aca="true" t="shared" si="25" ref="CK7:CK67">8635687.36/39.6*CJ7</f>
        <v>81112.47284911969</v>
      </c>
      <c r="CL7" s="30">
        <f aca="true" t="shared" si="26" ref="CL7:CL67">2437079.29/8635687.36*CK7</f>
        <v>22890.76937371629</v>
      </c>
      <c r="CM7" s="30">
        <f aca="true" t="shared" si="27" ref="CM7:CM67">1056962.05/39.6*CJ7</f>
        <v>9927.733833937093</v>
      </c>
      <c r="CN7" s="6">
        <v>2</v>
      </c>
      <c r="CO7" s="94" t="s">
        <v>42</v>
      </c>
      <c r="CP7" s="14" t="s">
        <v>45</v>
      </c>
      <c r="CQ7" s="30">
        <f aca="true" t="shared" si="28" ref="CQ7:CQ67">4125943.48/205542.47*D7</f>
        <v>38753.77425642496</v>
      </c>
      <c r="CR7" s="22">
        <f aca="true" t="shared" si="29" ref="CR7:CR67">344606.75/205542.47*D7</f>
        <v>3236.789903079398</v>
      </c>
      <c r="CS7" s="22">
        <f aca="true" t="shared" si="30" ref="CS7:CS67">1331104.09/205542.47*D7</f>
        <v>12502.669429602554</v>
      </c>
      <c r="CT7" s="109">
        <f aca="true" t="shared" si="31" ref="CT7:CT67">52027.62/205542.47*D7</f>
        <v>488.68014076117703</v>
      </c>
      <c r="CU7" s="126">
        <f>75833.8+29808.24</f>
        <v>105642.04000000001</v>
      </c>
      <c r="CV7" s="127">
        <f>24332.8+72869.64</f>
        <v>97202.44</v>
      </c>
      <c r="CW7" s="84">
        <v>2</v>
      </c>
      <c r="CX7" s="94" t="s">
        <v>42</v>
      </c>
      <c r="CY7" s="14" t="s">
        <v>45</v>
      </c>
      <c r="CZ7" s="116">
        <v>7.3</v>
      </c>
      <c r="DA7" s="2">
        <v>90035.28</v>
      </c>
      <c r="DB7" s="2">
        <f>81544.18-43.43</f>
        <v>81500.75</v>
      </c>
      <c r="DC7" s="15"/>
      <c r="DD7" s="11"/>
      <c r="DE7" s="112"/>
      <c r="DF7" s="84">
        <v>2</v>
      </c>
      <c r="DG7" s="94" t="s">
        <v>42</v>
      </c>
      <c r="DH7" s="14" t="s">
        <v>45</v>
      </c>
      <c r="DI7" s="132">
        <v>7.3</v>
      </c>
      <c r="DJ7" s="133">
        <f>22711.76</f>
        <v>22711.76</v>
      </c>
      <c r="DK7" s="134">
        <f>10777.48-13.4</f>
        <v>10764.08</v>
      </c>
      <c r="DL7" s="23"/>
      <c r="DM7" s="23"/>
    </row>
    <row r="8" spans="1:117" ht="12" customHeight="1">
      <c r="A8" s="6">
        <v>3</v>
      </c>
      <c r="B8" s="7" t="s">
        <v>42</v>
      </c>
      <c r="C8" s="8">
        <v>3</v>
      </c>
      <c r="D8" s="2">
        <v>670.3</v>
      </c>
      <c r="E8" s="44">
        <v>1958</v>
      </c>
      <c r="F8" s="45">
        <v>2</v>
      </c>
      <c r="G8" s="45">
        <v>2</v>
      </c>
      <c r="H8" s="45"/>
      <c r="I8" s="45">
        <v>12</v>
      </c>
      <c r="J8" s="45"/>
      <c r="K8" s="46">
        <v>67</v>
      </c>
      <c r="L8" s="47"/>
      <c r="M8" s="48"/>
      <c r="N8" s="48"/>
      <c r="O8" s="48"/>
      <c r="P8" s="45"/>
      <c r="Q8" s="49" t="s">
        <v>48</v>
      </c>
      <c r="R8" s="6">
        <v>3</v>
      </c>
      <c r="S8" s="94" t="s">
        <v>42</v>
      </c>
      <c r="T8" s="14">
        <v>3</v>
      </c>
      <c r="U8" s="50" t="s">
        <v>49</v>
      </c>
      <c r="V8" s="48">
        <v>570</v>
      </c>
      <c r="W8" s="31">
        <f t="shared" si="5"/>
        <v>-388.38000000000466</v>
      </c>
      <c r="X8" s="3">
        <v>109171.86</v>
      </c>
      <c r="Y8" s="3">
        <v>108783.48</v>
      </c>
      <c r="Z8" s="104">
        <f t="shared" si="6"/>
        <v>99.64424898504065</v>
      </c>
      <c r="AA8" s="3">
        <f t="shared" si="7"/>
        <v>-129171.78351034356</v>
      </c>
      <c r="AB8" s="3">
        <f t="shared" si="8"/>
        <v>237955.26351034356</v>
      </c>
      <c r="AC8" s="32">
        <f t="shared" si="0"/>
        <v>201657.00297486744</v>
      </c>
      <c r="AD8" s="6">
        <v>3</v>
      </c>
      <c r="AE8" s="94" t="s">
        <v>42</v>
      </c>
      <c r="AF8" s="14">
        <v>3</v>
      </c>
      <c r="AG8" s="2">
        <f t="shared" si="9"/>
        <v>69972.57775671894</v>
      </c>
      <c r="AH8" s="2">
        <f>0.71*1.078</f>
        <v>0.7653800000000001</v>
      </c>
      <c r="AI8" s="30">
        <f t="shared" si="10"/>
        <v>53329.74379718799</v>
      </c>
      <c r="AJ8" s="30">
        <f t="shared" si="11"/>
        <v>12623.14226955569</v>
      </c>
      <c r="AK8" s="2">
        <f t="shared" si="1"/>
        <v>65952.88606674368</v>
      </c>
      <c r="AL8" s="30">
        <f t="shared" si="12"/>
        <v>4019.6916899752514</v>
      </c>
      <c r="AM8" s="6">
        <v>3</v>
      </c>
      <c r="AN8" s="94" t="s">
        <v>42</v>
      </c>
      <c r="AO8" s="14">
        <v>3</v>
      </c>
      <c r="AP8" s="30">
        <f t="shared" si="2"/>
        <v>71123.37896718492</v>
      </c>
      <c r="AQ8" s="2">
        <f>(0.247+0.018)*1.003</f>
        <v>0.265795</v>
      </c>
      <c r="AR8" s="30">
        <f t="shared" si="13"/>
        <v>34169.95571739589</v>
      </c>
      <c r="AS8" s="30">
        <f t="shared" si="14"/>
        <v>9442.572098179733</v>
      </c>
      <c r="AT8" s="9">
        <v>17487.79</v>
      </c>
      <c r="AU8" s="22">
        <f t="shared" si="15"/>
        <v>477.180368752097</v>
      </c>
      <c r="AV8" s="6">
        <v>3</v>
      </c>
      <c r="AW8" s="94" t="s">
        <v>42</v>
      </c>
      <c r="AX8" s="14">
        <v>3</v>
      </c>
      <c r="AY8" s="22">
        <f t="shared" si="16"/>
        <v>0</v>
      </c>
      <c r="AZ8" s="2"/>
      <c r="BA8" s="2"/>
      <c r="BB8" s="2"/>
      <c r="BC8" s="2"/>
      <c r="BD8" s="2"/>
      <c r="BE8" s="2"/>
      <c r="BF8" s="6">
        <v>3</v>
      </c>
      <c r="BG8" s="94" t="s">
        <v>42</v>
      </c>
      <c r="BH8" s="14">
        <v>3</v>
      </c>
      <c r="BI8" s="31">
        <f t="shared" si="17"/>
        <v>0.03587239172517485</v>
      </c>
      <c r="BJ8" s="31">
        <f t="shared" si="18"/>
        <v>5666.3353937558495</v>
      </c>
      <c r="BK8" s="30">
        <f t="shared" si="19"/>
        <v>1594.2513012663514</v>
      </c>
      <c r="BL8" s="106">
        <f t="shared" si="20"/>
        <v>2285.2940878349864</v>
      </c>
      <c r="BM8" s="6">
        <v>3</v>
      </c>
      <c r="BN8" s="94" t="s">
        <v>42</v>
      </c>
      <c r="BO8" s="14">
        <v>3</v>
      </c>
      <c r="BP8" s="30">
        <f t="shared" si="3"/>
        <v>1914.8688843492591</v>
      </c>
      <c r="BQ8" s="30"/>
      <c r="BR8" s="22">
        <f t="shared" si="21"/>
        <v>343.1345910896176</v>
      </c>
      <c r="BS8" s="2"/>
      <c r="BT8" s="2"/>
      <c r="BU8" s="2"/>
      <c r="BV8" s="2"/>
      <c r="BW8" s="6">
        <v>3</v>
      </c>
      <c r="BX8" s="94" t="s">
        <v>42</v>
      </c>
      <c r="BY8" s="14">
        <v>3</v>
      </c>
      <c r="BZ8" s="30">
        <f t="shared" si="22"/>
        <v>65.01954261954262</v>
      </c>
      <c r="CA8" s="2">
        <f>18.5*I8*4</f>
        <v>888</v>
      </c>
      <c r="CB8" s="2"/>
      <c r="CC8" s="2"/>
      <c r="CD8" s="2"/>
      <c r="CE8" s="30">
        <f t="shared" si="23"/>
        <v>618.7147506400988</v>
      </c>
      <c r="CF8" s="6">
        <v>3</v>
      </c>
      <c r="CG8" s="94" t="s">
        <v>42</v>
      </c>
      <c r="CH8" s="14">
        <v>3</v>
      </c>
      <c r="CI8" s="46">
        <f t="shared" si="4"/>
        <v>39556.579949681436</v>
      </c>
      <c r="CJ8" s="38">
        <f t="shared" si="24"/>
        <v>0.12914061021062945</v>
      </c>
      <c r="CK8" s="30">
        <f t="shared" si="25"/>
        <v>28162.06907218736</v>
      </c>
      <c r="CL8" s="30">
        <f t="shared" si="26"/>
        <v>7947.623905108271</v>
      </c>
      <c r="CM8" s="30">
        <f t="shared" si="27"/>
        <v>3446.886972385804</v>
      </c>
      <c r="CN8" s="6">
        <v>3</v>
      </c>
      <c r="CO8" s="94" t="s">
        <v>42</v>
      </c>
      <c r="CP8" s="14">
        <v>3</v>
      </c>
      <c r="CQ8" s="30">
        <f t="shared" si="28"/>
        <v>13455.2237045901</v>
      </c>
      <c r="CR8" s="22">
        <f t="shared" si="29"/>
        <v>1123.8062115581272</v>
      </c>
      <c r="CS8" s="22">
        <f t="shared" si="30"/>
        <v>4340.898849405673</v>
      </c>
      <c r="CT8" s="109">
        <f t="shared" si="31"/>
        <v>169.66865137895834</v>
      </c>
      <c r="CU8" s="126">
        <f>26329.32+10349.4</f>
        <v>36678.72</v>
      </c>
      <c r="CV8" s="127">
        <f>9237.8+27588.45</f>
        <v>36826.25</v>
      </c>
      <c r="CW8" s="84">
        <v>3</v>
      </c>
      <c r="CX8" s="94" t="s">
        <v>42</v>
      </c>
      <c r="CY8" s="14">
        <v>3</v>
      </c>
      <c r="CZ8" s="116">
        <v>0</v>
      </c>
      <c r="DA8" s="46">
        <v>0</v>
      </c>
      <c r="DB8" s="2">
        <v>0</v>
      </c>
      <c r="DC8" s="15"/>
      <c r="DD8" s="11"/>
      <c r="DE8" s="112"/>
      <c r="DF8" s="84">
        <v>3</v>
      </c>
      <c r="DG8" s="94" t="s">
        <v>42</v>
      </c>
      <c r="DH8" s="14">
        <v>3</v>
      </c>
      <c r="DI8" s="132">
        <v>0</v>
      </c>
      <c r="DJ8" s="133">
        <v>0</v>
      </c>
      <c r="DK8" s="134">
        <v>-416.92</v>
      </c>
      <c r="DL8" s="23"/>
      <c r="DM8" s="23"/>
    </row>
    <row r="9" spans="1:117" ht="12" customHeight="1">
      <c r="A9" s="6">
        <v>4</v>
      </c>
      <c r="B9" s="7" t="s">
        <v>42</v>
      </c>
      <c r="C9" s="8" t="s">
        <v>50</v>
      </c>
      <c r="D9" s="2">
        <v>1903.6</v>
      </c>
      <c r="E9" s="44">
        <v>1958</v>
      </c>
      <c r="F9" s="45">
        <v>4</v>
      </c>
      <c r="G9" s="45">
        <v>3</v>
      </c>
      <c r="H9" s="45"/>
      <c r="I9" s="45">
        <v>30</v>
      </c>
      <c r="J9" s="45"/>
      <c r="K9" s="46">
        <v>187</v>
      </c>
      <c r="L9" s="47">
        <f>243+564+483</f>
        <v>1290</v>
      </c>
      <c r="M9" s="48">
        <v>0</v>
      </c>
      <c r="N9" s="48">
        <v>0</v>
      </c>
      <c r="O9" s="48">
        <v>2674</v>
      </c>
      <c r="P9" s="45"/>
      <c r="Q9" s="49" t="s">
        <v>46</v>
      </c>
      <c r="R9" s="6">
        <v>4</v>
      </c>
      <c r="S9" s="94" t="s">
        <v>42</v>
      </c>
      <c r="T9" s="14" t="s">
        <v>50</v>
      </c>
      <c r="U9" s="50" t="s">
        <v>47</v>
      </c>
      <c r="V9" s="48">
        <v>1092</v>
      </c>
      <c r="W9" s="31">
        <f t="shared" si="5"/>
        <v>-39094.20000000001</v>
      </c>
      <c r="X9" s="3">
        <v>457340.25</v>
      </c>
      <c r="Y9" s="3">
        <v>418246.05</v>
      </c>
      <c r="Z9" s="104">
        <f t="shared" si="6"/>
        <v>91.45183482101127</v>
      </c>
      <c r="AA9" s="3">
        <f t="shared" si="7"/>
        <v>-81070.21710801747</v>
      </c>
      <c r="AB9" s="3">
        <f t="shared" si="8"/>
        <v>499316.26710801746</v>
      </c>
      <c r="AC9" s="32">
        <f t="shared" si="0"/>
        <v>423149.3789050996</v>
      </c>
      <c r="AD9" s="6">
        <v>4</v>
      </c>
      <c r="AE9" s="94" t="s">
        <v>42</v>
      </c>
      <c r="AF9" s="14" t="s">
        <v>50</v>
      </c>
      <c r="AG9" s="2">
        <f t="shared" si="9"/>
        <v>90668.69230448088</v>
      </c>
      <c r="AH9" s="2">
        <f>0.92*1.078</f>
        <v>0.9917600000000001</v>
      </c>
      <c r="AI9" s="30">
        <f t="shared" si="10"/>
        <v>69103.32999072247</v>
      </c>
      <c r="AJ9" s="30">
        <f t="shared" si="11"/>
        <v>16356.74772956512</v>
      </c>
      <c r="AK9" s="2">
        <f t="shared" si="1"/>
        <v>85460.07772028759</v>
      </c>
      <c r="AL9" s="30">
        <f t="shared" si="12"/>
        <v>5208.614584193283</v>
      </c>
      <c r="AM9" s="6">
        <v>4</v>
      </c>
      <c r="AN9" s="94" t="s">
        <v>42</v>
      </c>
      <c r="AO9" s="14" t="s">
        <v>50</v>
      </c>
      <c r="AP9" s="30">
        <f t="shared" si="2"/>
        <v>152644.776116435</v>
      </c>
      <c r="AQ9" s="2">
        <f>(0.61+0.018)*1.003</f>
        <v>0.6298839999999999</v>
      </c>
      <c r="AR9" s="30">
        <f t="shared" si="13"/>
        <v>80976.34788877213</v>
      </c>
      <c r="AS9" s="30">
        <f t="shared" si="14"/>
        <v>22377.11425530895</v>
      </c>
      <c r="AT9" s="9">
        <v>17099.26</v>
      </c>
      <c r="AU9" s="22">
        <f t="shared" si="15"/>
        <v>1157.5030917826377</v>
      </c>
      <c r="AV9" s="6">
        <v>4</v>
      </c>
      <c r="AW9" s="94" t="s">
        <v>42</v>
      </c>
      <c r="AX9" s="14" t="s">
        <v>50</v>
      </c>
      <c r="AY9" s="22">
        <f t="shared" si="16"/>
        <v>3924.99</v>
      </c>
      <c r="AZ9" s="2">
        <v>3924.99</v>
      </c>
      <c r="BA9" s="2"/>
      <c r="BB9" s="2"/>
      <c r="BC9" s="2"/>
      <c r="BD9" s="2"/>
      <c r="BE9" s="2"/>
      <c r="BF9" s="6">
        <v>4</v>
      </c>
      <c r="BG9" s="94" t="s">
        <v>42</v>
      </c>
      <c r="BH9" s="14" t="s">
        <v>50</v>
      </c>
      <c r="BI9" s="31">
        <f t="shared" si="17"/>
        <v>0.10187480961963724</v>
      </c>
      <c r="BJ9" s="31">
        <f t="shared" si="18"/>
        <v>16091.952939808496</v>
      </c>
      <c r="BK9" s="30">
        <f t="shared" si="19"/>
        <v>4527.550018037635</v>
      </c>
      <c r="BL9" s="106">
        <f t="shared" si="20"/>
        <v>6490.057922725167</v>
      </c>
      <c r="BM9" s="6">
        <v>4</v>
      </c>
      <c r="BN9" s="94" t="s">
        <v>42</v>
      </c>
      <c r="BO9" s="14" t="s">
        <v>50</v>
      </c>
      <c r="BP9" s="30">
        <f t="shared" si="3"/>
        <v>13285.316369478422</v>
      </c>
      <c r="BQ9" s="30"/>
      <c r="BR9" s="22">
        <f t="shared" si="21"/>
        <v>974.4756192722602</v>
      </c>
      <c r="BS9" s="2"/>
      <c r="BT9" s="2"/>
      <c r="BU9" s="2"/>
      <c r="BV9" s="2"/>
      <c r="BW9" s="6">
        <v>4</v>
      </c>
      <c r="BX9" s="94" t="s">
        <v>42</v>
      </c>
      <c r="BY9" s="14" t="s">
        <v>50</v>
      </c>
      <c r="BZ9" s="30">
        <f t="shared" si="22"/>
        <v>162.54885654885655</v>
      </c>
      <c r="CA9" s="2">
        <f>18.5*I9*4</f>
        <v>2220</v>
      </c>
      <c r="CB9" s="2"/>
      <c r="CC9" s="2"/>
      <c r="CD9" s="2">
        <v>8171.19</v>
      </c>
      <c r="CE9" s="30">
        <f t="shared" si="23"/>
        <v>1757.101893657306</v>
      </c>
      <c r="CF9" s="6">
        <v>4</v>
      </c>
      <c r="CG9" s="94" t="s">
        <v>42</v>
      </c>
      <c r="CH9" s="14" t="s">
        <v>50</v>
      </c>
      <c r="CI9" s="46">
        <f t="shared" si="4"/>
        <v>112337.6183682136</v>
      </c>
      <c r="CJ9" s="38">
        <f t="shared" si="24"/>
        <v>0.36674931463069405</v>
      </c>
      <c r="CK9" s="30">
        <f t="shared" si="25"/>
        <v>79978.09143042796</v>
      </c>
      <c r="CL9" s="30">
        <f t="shared" si="26"/>
        <v>22570.635336064606</v>
      </c>
      <c r="CM9" s="30">
        <f t="shared" si="27"/>
        <v>9788.891601721045</v>
      </c>
      <c r="CN9" s="6">
        <v>4</v>
      </c>
      <c r="CO9" s="94" t="s">
        <v>42</v>
      </c>
      <c r="CP9" s="14" t="s">
        <v>50</v>
      </c>
      <c r="CQ9" s="30">
        <f t="shared" si="28"/>
        <v>38211.791502398504</v>
      </c>
      <c r="CR9" s="22">
        <f t="shared" si="29"/>
        <v>3191.5224590810844</v>
      </c>
      <c r="CS9" s="22">
        <f t="shared" si="30"/>
        <v>12327.815977515498</v>
      </c>
      <c r="CT9" s="109">
        <f t="shared" si="31"/>
        <v>481.84580749662103</v>
      </c>
      <c r="CU9" s="126">
        <f>74071.91+29241.3</f>
        <v>103313.21</v>
      </c>
      <c r="CV9" s="127">
        <f>24194.8+70172.04</f>
        <v>94366.84</v>
      </c>
      <c r="CW9" s="84">
        <v>4</v>
      </c>
      <c r="CX9" s="94" t="s">
        <v>42</v>
      </c>
      <c r="CY9" s="14" t="s">
        <v>50</v>
      </c>
      <c r="CZ9" s="116">
        <v>7.3</v>
      </c>
      <c r="DA9" s="2">
        <v>74987.06</v>
      </c>
      <c r="DB9" s="2">
        <f>61835.14-4.62</f>
        <v>61830.52</v>
      </c>
      <c r="DC9" s="15"/>
      <c r="DD9" s="11"/>
      <c r="DE9" s="112"/>
      <c r="DF9" s="84">
        <v>4</v>
      </c>
      <c r="DG9" s="94" t="s">
        <v>42</v>
      </c>
      <c r="DH9" s="14" t="s">
        <v>50</v>
      </c>
      <c r="DI9" s="132">
        <v>7.3</v>
      </c>
      <c r="DJ9" s="133">
        <v>35589.69</v>
      </c>
      <c r="DK9" s="134">
        <f>31484.03+19.05</f>
        <v>31503.079999999998</v>
      </c>
      <c r="DL9" s="23"/>
      <c r="DM9" s="23"/>
    </row>
    <row r="10" spans="1:117" ht="12" customHeight="1">
      <c r="A10" s="27">
        <v>5</v>
      </c>
      <c r="B10" s="28" t="s">
        <v>42</v>
      </c>
      <c r="C10" s="29">
        <v>5</v>
      </c>
      <c r="D10" s="30">
        <v>667.5</v>
      </c>
      <c r="E10" s="36">
        <v>1958</v>
      </c>
      <c r="F10" s="37">
        <v>2</v>
      </c>
      <c r="G10" s="37">
        <v>2</v>
      </c>
      <c r="H10" s="37"/>
      <c r="I10" s="37">
        <v>12</v>
      </c>
      <c r="J10" s="37"/>
      <c r="K10" s="38">
        <v>71.4</v>
      </c>
      <c r="L10" s="39">
        <f>211+320</f>
        <v>531</v>
      </c>
      <c r="M10" s="40">
        <v>0</v>
      </c>
      <c r="N10" s="40">
        <v>0</v>
      </c>
      <c r="O10" s="40">
        <v>3851</v>
      </c>
      <c r="P10" s="37"/>
      <c r="Q10" s="41" t="s">
        <v>48</v>
      </c>
      <c r="R10" s="27">
        <v>5</v>
      </c>
      <c r="S10" s="93" t="s">
        <v>42</v>
      </c>
      <c r="T10" s="96">
        <v>5</v>
      </c>
      <c r="U10" s="42" t="s">
        <v>49</v>
      </c>
      <c r="V10" s="40">
        <v>565</v>
      </c>
      <c r="W10" s="31">
        <f t="shared" si="5"/>
        <v>-13110.559999999998</v>
      </c>
      <c r="X10" s="31">
        <v>108715.89</v>
      </c>
      <c r="Y10" s="31">
        <v>95605.33</v>
      </c>
      <c r="Z10" s="103">
        <f t="shared" si="6"/>
        <v>87.94053012857643</v>
      </c>
      <c r="AA10" s="31">
        <f t="shared" si="7"/>
        <v>-146036.80909616884</v>
      </c>
      <c r="AB10" s="31">
        <f t="shared" si="8"/>
        <v>241642.13909616883</v>
      </c>
      <c r="AC10" s="32">
        <f t="shared" si="0"/>
        <v>204781.47381031257</v>
      </c>
      <c r="AD10" s="27">
        <v>5</v>
      </c>
      <c r="AE10" s="93" t="s">
        <v>42</v>
      </c>
      <c r="AF10" s="96">
        <v>5</v>
      </c>
      <c r="AG10" s="30">
        <f t="shared" si="9"/>
        <v>72929.16554925636</v>
      </c>
      <c r="AH10" s="30">
        <f>0.74*1.078</f>
        <v>0.7977200000000001</v>
      </c>
      <c r="AI10" s="30">
        <f t="shared" si="10"/>
        <v>55583.11325340721</v>
      </c>
      <c r="AJ10" s="30">
        <f t="shared" si="11"/>
        <v>13156.514478128467</v>
      </c>
      <c r="AK10" s="30">
        <f t="shared" si="1"/>
        <v>68739.62773153567</v>
      </c>
      <c r="AL10" s="30">
        <f t="shared" si="12"/>
        <v>4189.537817720685</v>
      </c>
      <c r="AM10" s="27">
        <v>5</v>
      </c>
      <c r="AN10" s="93" t="s">
        <v>42</v>
      </c>
      <c r="AO10" s="96">
        <v>5</v>
      </c>
      <c r="AP10" s="30">
        <f t="shared" si="2"/>
        <v>71540.25869036022</v>
      </c>
      <c r="AQ10" s="30">
        <f>(0.248+0.018)*1.003</f>
        <v>0.266798</v>
      </c>
      <c r="AR10" s="30">
        <f t="shared" si="13"/>
        <v>34298.89894651813</v>
      </c>
      <c r="AS10" s="30">
        <f t="shared" si="14"/>
        <v>9478.204445720032</v>
      </c>
      <c r="AT10" s="9">
        <v>17778.62</v>
      </c>
      <c r="AU10" s="22">
        <f t="shared" si="15"/>
        <v>478.5298937401883</v>
      </c>
      <c r="AV10" s="27">
        <v>5</v>
      </c>
      <c r="AW10" s="93" t="s">
        <v>42</v>
      </c>
      <c r="AX10" s="96">
        <v>5</v>
      </c>
      <c r="AY10" s="22">
        <f t="shared" si="16"/>
        <v>0</v>
      </c>
      <c r="AZ10" s="22"/>
      <c r="BA10" s="22"/>
      <c r="BB10" s="22"/>
      <c r="BC10" s="22"/>
      <c r="BD10" s="22"/>
      <c r="BE10" s="22"/>
      <c r="BF10" s="27">
        <v>5</v>
      </c>
      <c r="BG10" s="93" t="s">
        <v>42</v>
      </c>
      <c r="BH10" s="96">
        <v>5</v>
      </c>
      <c r="BI10" s="31">
        <f t="shared" si="17"/>
        <v>0.03572254434813399</v>
      </c>
      <c r="BJ10" s="31">
        <f t="shared" si="18"/>
        <v>5642.665784472669</v>
      </c>
      <c r="BK10" s="30">
        <f t="shared" si="19"/>
        <v>1587.5917404077125</v>
      </c>
      <c r="BL10" s="106">
        <f t="shared" si="20"/>
        <v>2275.7478795014968</v>
      </c>
      <c r="BM10" s="27">
        <v>5</v>
      </c>
      <c r="BN10" s="93" t="s">
        <v>42</v>
      </c>
      <c r="BO10" s="96">
        <v>5</v>
      </c>
      <c r="BP10" s="30">
        <f t="shared" si="3"/>
        <v>1910.8510145046473</v>
      </c>
      <c r="BQ10" s="30"/>
      <c r="BR10" s="22">
        <f t="shared" si="21"/>
        <v>341.7012375836487</v>
      </c>
      <c r="BS10" s="30"/>
      <c r="BT10" s="30"/>
      <c r="BU10" s="30"/>
      <c r="BV10" s="30"/>
      <c r="BW10" s="27">
        <v>5</v>
      </c>
      <c r="BX10" s="93" t="s">
        <v>42</v>
      </c>
      <c r="BY10" s="96">
        <v>5</v>
      </c>
      <c r="BZ10" s="30">
        <f t="shared" si="22"/>
        <v>65.01954261954262</v>
      </c>
      <c r="CA10" s="2">
        <f>18.5*I10*4</f>
        <v>888</v>
      </c>
      <c r="CB10" s="30"/>
      <c r="CC10" s="30"/>
      <c r="CD10" s="30"/>
      <c r="CE10" s="30">
        <f t="shared" si="23"/>
        <v>616.1302343014561</v>
      </c>
      <c r="CF10" s="27">
        <v>5</v>
      </c>
      <c r="CG10" s="93" t="s">
        <v>42</v>
      </c>
      <c r="CH10" s="96">
        <v>5</v>
      </c>
      <c r="CI10" s="38">
        <f t="shared" si="4"/>
        <v>39391.34285605305</v>
      </c>
      <c r="CJ10" s="38">
        <f t="shared" si="24"/>
        <v>0.12860115965328237</v>
      </c>
      <c r="CK10" s="30">
        <f t="shared" si="25"/>
        <v>28044.429517656372</v>
      </c>
      <c r="CL10" s="30">
        <f t="shared" si="26"/>
        <v>7914.424819722171</v>
      </c>
      <c r="CM10" s="30">
        <f t="shared" si="27"/>
        <v>3432.4885186745105</v>
      </c>
      <c r="CN10" s="27">
        <v>5</v>
      </c>
      <c r="CO10" s="93" t="s">
        <v>42</v>
      </c>
      <c r="CP10" s="96">
        <v>5</v>
      </c>
      <c r="CQ10" s="30">
        <f t="shared" si="28"/>
        <v>13399.018085654025</v>
      </c>
      <c r="CR10" s="22">
        <f t="shared" si="29"/>
        <v>1119.111809958302</v>
      </c>
      <c r="CS10" s="22">
        <f t="shared" si="30"/>
        <v>4322.765898818867</v>
      </c>
      <c r="CT10" s="109">
        <f t="shared" si="31"/>
        <v>168.95990570707846</v>
      </c>
      <c r="CU10" s="126">
        <f>26219.48+10306.28</f>
        <v>36525.76</v>
      </c>
      <c r="CV10" s="127">
        <f>8041.68+23940.65</f>
        <v>31982.33</v>
      </c>
      <c r="CW10" s="83">
        <v>5</v>
      </c>
      <c r="CX10" s="93" t="s">
        <v>42</v>
      </c>
      <c r="CY10" s="96">
        <v>5</v>
      </c>
      <c r="CZ10" s="114">
        <v>0</v>
      </c>
      <c r="DA10" s="30">
        <v>0</v>
      </c>
      <c r="DB10" s="30">
        <v>0</v>
      </c>
      <c r="DC10" s="34"/>
      <c r="DD10" s="33"/>
      <c r="DE10" s="117"/>
      <c r="DF10" s="83">
        <v>5</v>
      </c>
      <c r="DG10" s="93" t="s">
        <v>42</v>
      </c>
      <c r="DH10" s="96">
        <v>5</v>
      </c>
      <c r="DI10" s="114">
        <v>0</v>
      </c>
      <c r="DJ10" s="130">
        <v>0</v>
      </c>
      <c r="DK10" s="131">
        <v>0</v>
      </c>
      <c r="DL10" s="35"/>
      <c r="DM10" s="35"/>
    </row>
    <row r="11" spans="1:117" ht="12" customHeight="1">
      <c r="A11" s="6">
        <v>6</v>
      </c>
      <c r="B11" s="7" t="s">
        <v>42</v>
      </c>
      <c r="C11" s="8" t="s">
        <v>51</v>
      </c>
      <c r="D11" s="2">
        <v>2378.9</v>
      </c>
      <c r="E11" s="44">
        <v>1962</v>
      </c>
      <c r="F11" s="45">
        <v>4</v>
      </c>
      <c r="G11" s="45">
        <v>4</v>
      </c>
      <c r="H11" s="45"/>
      <c r="I11" s="45">
        <v>60</v>
      </c>
      <c r="J11" s="45"/>
      <c r="K11" s="46">
        <v>205.1</v>
      </c>
      <c r="L11" s="47">
        <v>918</v>
      </c>
      <c r="M11" s="48">
        <v>0</v>
      </c>
      <c r="N11" s="48">
        <v>0</v>
      </c>
      <c r="O11" s="48">
        <v>206</v>
      </c>
      <c r="P11" s="45"/>
      <c r="Q11" s="49" t="s">
        <v>46</v>
      </c>
      <c r="R11" s="6">
        <v>6</v>
      </c>
      <c r="S11" s="94" t="s">
        <v>42</v>
      </c>
      <c r="T11" s="14" t="s">
        <v>51</v>
      </c>
      <c r="U11" s="50" t="s">
        <v>47</v>
      </c>
      <c r="V11" s="48">
        <v>1094</v>
      </c>
      <c r="W11" s="31">
        <f t="shared" si="5"/>
        <v>-16110.140000000014</v>
      </c>
      <c r="X11" s="3">
        <v>576303.99</v>
      </c>
      <c r="Y11" s="3">
        <v>560193.85</v>
      </c>
      <c r="Z11" s="104">
        <f t="shared" si="6"/>
        <v>97.20457600857492</v>
      </c>
      <c r="AA11" s="3">
        <f t="shared" si="7"/>
        <v>13459.911682152422</v>
      </c>
      <c r="AB11" s="3">
        <f t="shared" si="8"/>
        <v>546733.9383178476</v>
      </c>
      <c r="AC11" s="32">
        <f t="shared" si="0"/>
        <v>463333.8460320742</v>
      </c>
      <c r="AD11" s="6">
        <v>6</v>
      </c>
      <c r="AE11" s="94" t="s">
        <v>42</v>
      </c>
      <c r="AF11" s="14" t="s">
        <v>51</v>
      </c>
      <c r="AG11" s="2">
        <f t="shared" si="9"/>
        <v>52233.051001494416</v>
      </c>
      <c r="AH11" s="2">
        <f>0.53*1.078</f>
        <v>0.5713400000000001</v>
      </c>
      <c r="AI11" s="30">
        <f t="shared" si="10"/>
        <v>39809.52705987273</v>
      </c>
      <c r="AJ11" s="30">
        <f t="shared" si="11"/>
        <v>9422.909018119037</v>
      </c>
      <c r="AK11" s="2">
        <f t="shared" si="1"/>
        <v>49232.43607799176</v>
      </c>
      <c r="AL11" s="30">
        <f t="shared" si="12"/>
        <v>3000.6149235026523</v>
      </c>
      <c r="AM11" s="6">
        <v>6</v>
      </c>
      <c r="AN11" s="94" t="s">
        <v>42</v>
      </c>
      <c r="AO11" s="14" t="s">
        <v>51</v>
      </c>
      <c r="AP11" s="30">
        <f t="shared" si="2"/>
        <v>185443.1192144243</v>
      </c>
      <c r="AQ11" s="2">
        <f>(0.836+0.018)*1.003</f>
        <v>0.8565619999999999</v>
      </c>
      <c r="AR11" s="30">
        <f t="shared" si="13"/>
        <v>110117.51767040032</v>
      </c>
      <c r="AS11" s="30">
        <f t="shared" si="14"/>
        <v>30430.024799416948</v>
      </c>
      <c r="AT11" s="9">
        <v>9460.87</v>
      </c>
      <c r="AU11" s="22">
        <f t="shared" si="15"/>
        <v>1556.3003678519085</v>
      </c>
      <c r="AV11" s="6">
        <v>6</v>
      </c>
      <c r="AW11" s="94" t="s">
        <v>42</v>
      </c>
      <c r="AX11" s="14" t="s">
        <v>51</v>
      </c>
      <c r="AY11" s="22">
        <f t="shared" si="16"/>
        <v>0</v>
      </c>
      <c r="AZ11" s="2"/>
      <c r="BA11" s="3"/>
      <c r="BB11" s="3"/>
      <c r="BC11" s="3"/>
      <c r="BD11" s="3"/>
      <c r="BE11" s="3"/>
      <c r="BF11" s="6">
        <v>6</v>
      </c>
      <c r="BG11" s="94" t="s">
        <v>42</v>
      </c>
      <c r="BH11" s="14" t="s">
        <v>51</v>
      </c>
      <c r="BI11" s="31">
        <f t="shared" si="17"/>
        <v>0.1273114018723235</v>
      </c>
      <c r="BJ11" s="31">
        <f t="shared" si="18"/>
        <v>20109.86911562851</v>
      </c>
      <c r="BK11" s="30">
        <f t="shared" si="19"/>
        <v>5658.01047379162</v>
      </c>
      <c r="BL11" s="106">
        <f t="shared" si="20"/>
        <v>8110.5267873349985</v>
      </c>
      <c r="BM11" s="6">
        <v>6</v>
      </c>
      <c r="BN11" s="94" t="s">
        <v>42</v>
      </c>
      <c r="BO11" s="14" t="s">
        <v>51</v>
      </c>
      <c r="BP11" s="30">
        <f t="shared" si="3"/>
        <v>17521.92863215011</v>
      </c>
      <c r="BQ11" s="30"/>
      <c r="BR11" s="22">
        <f t="shared" si="21"/>
        <v>1217.787376910475</v>
      </c>
      <c r="BS11" s="2"/>
      <c r="BT11" s="2"/>
      <c r="BU11" s="2"/>
      <c r="BV11" s="2"/>
      <c r="BW11" s="6">
        <v>6</v>
      </c>
      <c r="BX11" s="94" t="s">
        <v>42</v>
      </c>
      <c r="BY11" s="14" t="s">
        <v>51</v>
      </c>
      <c r="BZ11" s="30">
        <f t="shared" si="22"/>
        <v>325.0977130977131</v>
      </c>
      <c r="CA11" s="2">
        <f>18.5*I11*4</f>
        <v>4440</v>
      </c>
      <c r="CB11" s="2"/>
      <c r="CC11" s="2"/>
      <c r="CD11" s="2">
        <v>9343.22</v>
      </c>
      <c r="CE11" s="30">
        <f t="shared" si="23"/>
        <v>2195.823542141923</v>
      </c>
      <c r="CF11" s="6">
        <v>6</v>
      </c>
      <c r="CG11" s="94" t="s">
        <v>42</v>
      </c>
      <c r="CH11" s="14" t="s">
        <v>51</v>
      </c>
      <c r="CI11" s="46">
        <f t="shared" si="4"/>
        <v>140386.61501163238</v>
      </c>
      <c r="CJ11" s="38">
        <f t="shared" si="24"/>
        <v>0.45832104674036467</v>
      </c>
      <c r="CK11" s="30">
        <f t="shared" si="25"/>
        <v>99947.40581206404</v>
      </c>
      <c r="CL11" s="30">
        <f t="shared" si="26"/>
        <v>28206.180080355167</v>
      </c>
      <c r="CM11" s="30">
        <f t="shared" si="27"/>
        <v>12233.029119213174</v>
      </c>
      <c r="CN11" s="6">
        <v>6</v>
      </c>
      <c r="CO11" s="94" t="s">
        <v>42</v>
      </c>
      <c r="CP11" s="14" t="s">
        <v>51</v>
      </c>
      <c r="CQ11" s="30">
        <f t="shared" si="28"/>
        <v>47752.695316797544</v>
      </c>
      <c r="CR11" s="22">
        <f t="shared" si="29"/>
        <v>3988.397130651393</v>
      </c>
      <c r="CS11" s="22">
        <f t="shared" si="30"/>
        <v>15405.884339625773</v>
      </c>
      <c r="CT11" s="109">
        <f t="shared" si="31"/>
        <v>602.1553852982307</v>
      </c>
      <c r="CU11" s="126">
        <f>93445.04+36731.51</f>
        <v>130176.54999999999</v>
      </c>
      <c r="CV11" s="127">
        <f>31547.75+94764.77</f>
        <v>126312.52</v>
      </c>
      <c r="CW11" s="84">
        <v>6</v>
      </c>
      <c r="CX11" s="94" t="s">
        <v>42</v>
      </c>
      <c r="CY11" s="14" t="s">
        <v>51</v>
      </c>
      <c r="CZ11" s="116">
        <v>7.3</v>
      </c>
      <c r="DA11" s="2">
        <v>120285.75</v>
      </c>
      <c r="DB11" s="2">
        <f>99000.33+477.33</f>
        <v>99477.66</v>
      </c>
      <c r="DC11" s="15"/>
      <c r="DD11" s="11"/>
      <c r="DE11" s="112"/>
      <c r="DF11" s="84">
        <v>6</v>
      </c>
      <c r="DG11" s="94" t="s">
        <v>42</v>
      </c>
      <c r="DH11" s="14" t="s">
        <v>51</v>
      </c>
      <c r="DI11" s="132">
        <v>7.3</v>
      </c>
      <c r="DJ11" s="133">
        <f>2004.72+26899.04</f>
        <v>28903.760000000002</v>
      </c>
      <c r="DK11" s="134">
        <f>20559.8+3100.39</f>
        <v>23660.19</v>
      </c>
      <c r="DL11" s="23"/>
      <c r="DM11" s="23"/>
    </row>
    <row r="12" spans="1:117" ht="12" customHeight="1">
      <c r="A12" s="6">
        <v>7</v>
      </c>
      <c r="B12" s="7" t="s">
        <v>42</v>
      </c>
      <c r="C12" s="8" t="s">
        <v>52</v>
      </c>
      <c r="D12" s="3">
        <v>20499.3</v>
      </c>
      <c r="E12" s="53" t="s">
        <v>53</v>
      </c>
      <c r="F12" s="45">
        <v>8</v>
      </c>
      <c r="G12" s="45">
        <v>9</v>
      </c>
      <c r="H12" s="45">
        <v>8</v>
      </c>
      <c r="I12" s="45">
        <v>393</v>
      </c>
      <c r="J12" s="45"/>
      <c r="K12" s="54">
        <v>2730.2</v>
      </c>
      <c r="L12" s="47">
        <f>1671+586</f>
        <v>2257</v>
      </c>
      <c r="M12" s="48">
        <v>0</v>
      </c>
      <c r="N12" s="48">
        <v>455</v>
      </c>
      <c r="O12" s="48">
        <v>4131</v>
      </c>
      <c r="P12" s="45"/>
      <c r="Q12" s="49" t="s">
        <v>46</v>
      </c>
      <c r="R12" s="6">
        <v>7</v>
      </c>
      <c r="S12" s="94" t="s">
        <v>42</v>
      </c>
      <c r="T12" s="14" t="s">
        <v>52</v>
      </c>
      <c r="U12" s="50" t="s">
        <v>44</v>
      </c>
      <c r="V12" s="48">
        <v>4012</v>
      </c>
      <c r="W12" s="31">
        <f t="shared" si="5"/>
        <v>-111353.25999999978</v>
      </c>
      <c r="X12" s="3">
        <v>6405014.88</v>
      </c>
      <c r="Y12" s="3">
        <v>6293661.62</v>
      </c>
      <c r="Z12" s="104">
        <f t="shared" si="6"/>
        <v>98.26146758303862</v>
      </c>
      <c r="AA12" s="3">
        <f t="shared" si="7"/>
        <v>154576.34541754052</v>
      </c>
      <c r="AB12" s="3">
        <f t="shared" si="8"/>
        <v>6139085.27458246</v>
      </c>
      <c r="AC12" s="32">
        <f t="shared" si="0"/>
        <v>5202614.639476661</v>
      </c>
      <c r="AD12" s="6">
        <v>7</v>
      </c>
      <c r="AE12" s="94" t="s">
        <v>42</v>
      </c>
      <c r="AF12" s="14" t="s">
        <v>52</v>
      </c>
      <c r="AG12" s="2">
        <f t="shared" si="9"/>
        <v>413922.2909552388</v>
      </c>
      <c r="AH12" s="2">
        <f>4.2*1.078</f>
        <v>4.5276000000000005</v>
      </c>
      <c r="AI12" s="30">
        <f t="shared" si="10"/>
        <v>315471.7238706896</v>
      </c>
      <c r="AJ12" s="30">
        <f t="shared" si="11"/>
        <v>74672.1092001886</v>
      </c>
      <c r="AK12" s="2">
        <f t="shared" si="1"/>
        <v>390143.8330708782</v>
      </c>
      <c r="AL12" s="30">
        <f t="shared" si="12"/>
        <v>23778.457884360643</v>
      </c>
      <c r="AM12" s="6">
        <v>7</v>
      </c>
      <c r="AN12" s="94" t="s">
        <v>42</v>
      </c>
      <c r="AO12" s="14" t="s">
        <v>52</v>
      </c>
      <c r="AP12" s="30">
        <f t="shared" si="2"/>
        <v>1885486.1972173746</v>
      </c>
      <c r="AQ12" s="2">
        <f>(6.145+0.02)*1.003</f>
        <v>6.183494999999999</v>
      </c>
      <c r="AR12" s="30">
        <f t="shared" si="13"/>
        <v>794935.0075386626</v>
      </c>
      <c r="AS12" s="30">
        <f t="shared" si="14"/>
        <v>219673.42258595486</v>
      </c>
      <c r="AT12" s="9">
        <v>504510.34</v>
      </c>
      <c r="AU12" s="22">
        <f t="shared" si="15"/>
        <v>11516.450671715507</v>
      </c>
      <c r="AV12" s="6">
        <v>7</v>
      </c>
      <c r="AW12" s="94" t="s">
        <v>42</v>
      </c>
      <c r="AX12" s="14" t="s">
        <v>52</v>
      </c>
      <c r="AY12" s="22">
        <f t="shared" si="16"/>
        <v>62916.21</v>
      </c>
      <c r="AZ12" s="2"/>
      <c r="BA12" s="2"/>
      <c r="BB12" s="2"/>
      <c r="BC12" s="2">
        <v>47730.15</v>
      </c>
      <c r="BD12" s="2">
        <v>15186.06</v>
      </c>
      <c r="BE12" s="2"/>
      <c r="BF12" s="6">
        <v>7</v>
      </c>
      <c r="BG12" s="94" t="s">
        <v>42</v>
      </c>
      <c r="BH12" s="14" t="s">
        <v>52</v>
      </c>
      <c r="BI12" s="31">
        <f t="shared" si="17"/>
        <v>1.097059405776334</v>
      </c>
      <c r="BJ12" s="31">
        <f t="shared" si="18"/>
        <v>173289.4362781132</v>
      </c>
      <c r="BK12" s="30">
        <f t="shared" si="19"/>
        <v>48755.834253392975</v>
      </c>
      <c r="BL12" s="106">
        <f t="shared" si="20"/>
        <v>69889.49588953564</v>
      </c>
      <c r="BM12" s="6">
        <v>7</v>
      </c>
      <c r="BN12" s="94" t="s">
        <v>42</v>
      </c>
      <c r="BO12" s="14" t="s">
        <v>52</v>
      </c>
      <c r="BP12" s="30">
        <f t="shared" si="3"/>
        <v>1109672.5339813016</v>
      </c>
      <c r="BQ12" s="30">
        <v>4908</v>
      </c>
      <c r="BR12" s="22">
        <f t="shared" si="21"/>
        <v>10493.836973181258</v>
      </c>
      <c r="BS12" s="2">
        <f>28000/37*8</f>
        <v>6054.054054054054</v>
      </c>
      <c r="BT12" s="2">
        <f>151689.01/37*8</f>
        <v>32797.62378378378</v>
      </c>
      <c r="BU12" s="2">
        <f>40499.84/37*8</f>
        <v>8756.722162162161</v>
      </c>
      <c r="BV12" s="2">
        <f>4353627.16/37*8</f>
        <v>941324.7913513514</v>
      </c>
      <c r="BW12" s="6">
        <v>7</v>
      </c>
      <c r="BX12" s="94" t="s">
        <v>42</v>
      </c>
      <c r="BY12" s="14" t="s">
        <v>52</v>
      </c>
      <c r="BZ12" s="30">
        <f t="shared" si="22"/>
        <v>2129.3900207900206</v>
      </c>
      <c r="CA12" s="2"/>
      <c r="CB12" s="2">
        <v>84286.41</v>
      </c>
      <c r="CC12" s="2"/>
      <c r="CD12" s="2"/>
      <c r="CE12" s="30">
        <f t="shared" si="23"/>
        <v>18921.705635978782</v>
      </c>
      <c r="CF12" s="6">
        <v>7</v>
      </c>
      <c r="CG12" s="94" t="s">
        <v>42</v>
      </c>
      <c r="CH12" s="14" t="s">
        <v>52</v>
      </c>
      <c r="CI12" s="46">
        <f t="shared" si="4"/>
        <v>1209730.2690772857</v>
      </c>
      <c r="CJ12" s="38">
        <f t="shared" si="24"/>
        <v>3.949413860794803</v>
      </c>
      <c r="CK12" s="30">
        <f t="shared" si="25"/>
        <v>861260.1857847089</v>
      </c>
      <c r="CL12" s="30">
        <f t="shared" si="26"/>
        <v>243056.43251974636</v>
      </c>
      <c r="CM12" s="30">
        <f t="shared" si="27"/>
        <v>105413.65077283054</v>
      </c>
      <c r="CN12" s="6">
        <v>7</v>
      </c>
      <c r="CO12" s="94" t="s">
        <v>42</v>
      </c>
      <c r="CP12" s="14" t="s">
        <v>52</v>
      </c>
      <c r="CQ12" s="30">
        <f t="shared" si="28"/>
        <v>411491.3729486855</v>
      </c>
      <c r="CR12" s="22">
        <f t="shared" si="29"/>
        <v>34368.552398319436</v>
      </c>
      <c r="CS12" s="22">
        <f t="shared" si="30"/>
        <v>132754.56927289529</v>
      </c>
      <c r="CT12" s="109">
        <f t="shared" si="31"/>
        <v>5188.853625559721</v>
      </c>
      <c r="CU12" s="128">
        <f>805212.76+316509.64</f>
        <v>1121722.4</v>
      </c>
      <c r="CV12" s="127">
        <f>283173.41+821953.51</f>
        <v>1105126.92</v>
      </c>
      <c r="CW12" s="84">
        <v>7</v>
      </c>
      <c r="CX12" s="94" t="s">
        <v>42</v>
      </c>
      <c r="CY12" s="14" t="s">
        <v>52</v>
      </c>
      <c r="CZ12" s="116">
        <v>7.3</v>
      </c>
      <c r="DA12" s="3">
        <v>1021730.27</v>
      </c>
      <c r="DB12" s="2">
        <f>853115.82+1696.84</f>
        <v>854812.6599999999</v>
      </c>
      <c r="DC12" s="15"/>
      <c r="DD12" s="11"/>
      <c r="DE12" s="112"/>
      <c r="DF12" s="84">
        <v>7</v>
      </c>
      <c r="DG12" s="94" t="s">
        <v>42</v>
      </c>
      <c r="DH12" s="14" t="s">
        <v>52</v>
      </c>
      <c r="DI12" s="132">
        <v>7.3</v>
      </c>
      <c r="DJ12" s="133">
        <f>22967.53+245357.01</f>
        <v>268324.54000000004</v>
      </c>
      <c r="DK12" s="134">
        <f>218185.6+28186.52</f>
        <v>246372.12</v>
      </c>
      <c r="DL12" s="23"/>
      <c r="DM12" s="23"/>
    </row>
    <row r="13" spans="1:117" ht="12" customHeight="1">
      <c r="A13" s="6">
        <v>8</v>
      </c>
      <c r="B13" s="7" t="s">
        <v>42</v>
      </c>
      <c r="C13" s="8">
        <v>11</v>
      </c>
      <c r="D13" s="2">
        <v>3117.3</v>
      </c>
      <c r="E13" s="44">
        <v>1968</v>
      </c>
      <c r="F13" s="45">
        <v>4</v>
      </c>
      <c r="G13" s="45">
        <v>5</v>
      </c>
      <c r="H13" s="45"/>
      <c r="I13" s="45">
        <v>67</v>
      </c>
      <c r="J13" s="45"/>
      <c r="K13" s="46">
        <v>325.9</v>
      </c>
      <c r="L13" s="47">
        <v>1387.8</v>
      </c>
      <c r="M13" s="48">
        <v>0</v>
      </c>
      <c r="N13" s="48">
        <v>1200</v>
      </c>
      <c r="O13" s="48">
        <v>1007.2</v>
      </c>
      <c r="P13" s="45"/>
      <c r="Q13" s="49" t="s">
        <v>46</v>
      </c>
      <c r="R13" s="6">
        <v>8</v>
      </c>
      <c r="S13" s="94" t="s">
        <v>42</v>
      </c>
      <c r="T13" s="14">
        <v>11</v>
      </c>
      <c r="U13" s="50" t="s">
        <v>47</v>
      </c>
      <c r="V13" s="48">
        <v>1101</v>
      </c>
      <c r="W13" s="31">
        <f t="shared" si="5"/>
        <v>-44898.630000000005</v>
      </c>
      <c r="X13" s="3">
        <v>754975.08</v>
      </c>
      <c r="Y13" s="3">
        <v>710076.45</v>
      </c>
      <c r="Z13" s="104">
        <f t="shared" si="6"/>
        <v>94.05296529787447</v>
      </c>
      <c r="AA13" s="3">
        <f t="shared" si="7"/>
        <v>-136719.0976469681</v>
      </c>
      <c r="AB13" s="3">
        <f t="shared" si="8"/>
        <v>846795.547646968</v>
      </c>
      <c r="AC13" s="32">
        <f t="shared" si="0"/>
        <v>717623.3454635323</v>
      </c>
      <c r="AD13" s="6">
        <v>8</v>
      </c>
      <c r="AE13" s="94" t="s">
        <v>42</v>
      </c>
      <c r="AF13" s="14">
        <v>11</v>
      </c>
      <c r="AG13" s="2">
        <f t="shared" si="9"/>
        <v>140930.68477761702</v>
      </c>
      <c r="AH13" s="2">
        <f>1.43*1.078</f>
        <v>1.5415400000000001</v>
      </c>
      <c r="AI13" s="30">
        <f t="shared" si="10"/>
        <v>107410.61074644906</v>
      </c>
      <c r="AJ13" s="30">
        <f t="shared" si="11"/>
        <v>25424.075275302308</v>
      </c>
      <c r="AK13" s="2">
        <f t="shared" si="1"/>
        <v>132834.68602175137</v>
      </c>
      <c r="AL13" s="30">
        <f t="shared" si="12"/>
        <v>8095.998755865647</v>
      </c>
      <c r="AM13" s="6">
        <v>8</v>
      </c>
      <c r="AN13" s="94" t="s">
        <v>42</v>
      </c>
      <c r="AO13" s="14">
        <v>11</v>
      </c>
      <c r="AP13" s="30">
        <f t="shared" si="2"/>
        <v>253431.45512123674</v>
      </c>
      <c r="AQ13" s="2">
        <f>(1.024+0.018)*1.003</f>
        <v>1.045126</v>
      </c>
      <c r="AR13" s="30">
        <f t="shared" si="13"/>
        <v>134358.84474538307</v>
      </c>
      <c r="AS13" s="30">
        <f t="shared" si="14"/>
        <v>37128.906136993515</v>
      </c>
      <c r="AT13" s="9">
        <v>29101.81</v>
      </c>
      <c r="AU13" s="22">
        <f t="shared" si="15"/>
        <v>1917.0809099019016</v>
      </c>
      <c r="AV13" s="6">
        <v>8</v>
      </c>
      <c r="AW13" s="94" t="s">
        <v>42</v>
      </c>
      <c r="AX13" s="14">
        <v>11</v>
      </c>
      <c r="AY13" s="22">
        <f t="shared" si="16"/>
        <v>6530.7</v>
      </c>
      <c r="AZ13" s="10">
        <v>6530.7</v>
      </c>
      <c r="BA13" s="2"/>
      <c r="BB13" s="2"/>
      <c r="BC13" s="2"/>
      <c r="BD13" s="2"/>
      <c r="BE13" s="2"/>
      <c r="BF13" s="6">
        <v>8</v>
      </c>
      <c r="BG13" s="94" t="s">
        <v>42</v>
      </c>
      <c r="BH13" s="14">
        <v>11</v>
      </c>
      <c r="BI13" s="31">
        <f t="shared" si="17"/>
        <v>0.1668282958748136</v>
      </c>
      <c r="BJ13" s="31">
        <f t="shared" si="18"/>
        <v>26351.883220878874</v>
      </c>
      <c r="BK13" s="30">
        <f t="shared" si="19"/>
        <v>7414.231808798444</v>
      </c>
      <c r="BL13" s="106">
        <f t="shared" si="20"/>
        <v>10627.998299280924</v>
      </c>
      <c r="BM13" s="6">
        <v>8</v>
      </c>
      <c r="BN13" s="94" t="s">
        <v>42</v>
      </c>
      <c r="BO13" s="14">
        <v>11</v>
      </c>
      <c r="BP13" s="30">
        <f t="shared" si="3"/>
        <v>50521.04637484292</v>
      </c>
      <c r="BQ13" s="30">
        <v>1432.3</v>
      </c>
      <c r="BR13" s="22">
        <f t="shared" si="21"/>
        <v>1595.783172913121</v>
      </c>
      <c r="BS13" s="2"/>
      <c r="BT13" s="2"/>
      <c r="BU13" s="2"/>
      <c r="BV13" s="2"/>
      <c r="BW13" s="6">
        <v>8</v>
      </c>
      <c r="BX13" s="94" t="s">
        <v>42</v>
      </c>
      <c r="BY13" s="14">
        <v>11</v>
      </c>
      <c r="BZ13" s="30">
        <f t="shared" si="22"/>
        <v>363.0257796257796</v>
      </c>
      <c r="CA13" s="2"/>
      <c r="CB13" s="2"/>
      <c r="CC13" s="2">
        <v>44252.54</v>
      </c>
      <c r="CD13" s="2"/>
      <c r="CE13" s="30">
        <f t="shared" si="23"/>
        <v>2877.3974223040136</v>
      </c>
      <c r="CF13" s="6">
        <v>8</v>
      </c>
      <c r="CG13" s="94" t="s">
        <v>42</v>
      </c>
      <c r="CH13" s="14">
        <v>11</v>
      </c>
      <c r="CI13" s="46">
        <f t="shared" si="4"/>
        <v>183961.9971313471</v>
      </c>
      <c r="CJ13" s="38">
        <f t="shared" si="24"/>
        <v>0.600581865149329</v>
      </c>
      <c r="CK13" s="30">
        <f t="shared" si="25"/>
        <v>130970.63690695162</v>
      </c>
      <c r="CL13" s="30">
        <f t="shared" si="26"/>
        <v>36961.25316931824</v>
      </c>
      <c r="CM13" s="30">
        <f t="shared" si="27"/>
        <v>16030.107055077231</v>
      </c>
      <c r="CN13" s="6">
        <v>8</v>
      </c>
      <c r="CO13" s="94" t="s">
        <v>42</v>
      </c>
      <c r="CP13" s="14">
        <v>11</v>
      </c>
      <c r="CQ13" s="30">
        <f t="shared" si="28"/>
        <v>62574.91996765437</v>
      </c>
      <c r="CR13" s="22">
        <f t="shared" si="29"/>
        <v>5226.377895405267</v>
      </c>
      <c r="CS13" s="22">
        <f t="shared" si="30"/>
        <v>20187.802451517688</v>
      </c>
      <c r="CT13" s="109">
        <f t="shared" si="31"/>
        <v>789.0617439111247</v>
      </c>
      <c r="CU13" s="126">
        <f>122410.4+48125.44</f>
        <v>170535.84</v>
      </c>
      <c r="CV13" s="127">
        <f>41694.98+118989.89</f>
        <v>160684.87</v>
      </c>
      <c r="CW13" s="84">
        <v>8</v>
      </c>
      <c r="CX13" s="94" t="s">
        <v>42</v>
      </c>
      <c r="CY13" s="14">
        <v>11</v>
      </c>
      <c r="CZ13" s="116">
        <v>7.3</v>
      </c>
      <c r="DA13" s="2">
        <v>140535.22</v>
      </c>
      <c r="DB13" s="2">
        <f>126035.34+54.96</f>
        <v>126090.3</v>
      </c>
      <c r="DC13" s="15"/>
      <c r="DD13" s="11"/>
      <c r="DE13" s="112"/>
      <c r="DF13" s="84">
        <v>8</v>
      </c>
      <c r="DG13" s="94" t="s">
        <v>42</v>
      </c>
      <c r="DH13" s="14">
        <v>11</v>
      </c>
      <c r="DI13" s="132">
        <v>7.3</v>
      </c>
      <c r="DJ13" s="133">
        <f>3355.92+44400.06</f>
        <v>47755.979999999996</v>
      </c>
      <c r="DK13" s="134">
        <f>34898.39+3723.65</f>
        <v>38622.04</v>
      </c>
      <c r="DL13" s="23"/>
      <c r="DM13" s="23"/>
    </row>
    <row r="14" spans="1:117" ht="12" customHeight="1">
      <c r="A14" s="6">
        <v>9</v>
      </c>
      <c r="B14" s="7" t="s">
        <v>42</v>
      </c>
      <c r="C14" s="8" t="s">
        <v>54</v>
      </c>
      <c r="D14" s="2">
        <v>3101.9</v>
      </c>
      <c r="E14" s="44">
        <v>1968</v>
      </c>
      <c r="F14" s="45">
        <v>4</v>
      </c>
      <c r="G14" s="45">
        <v>5</v>
      </c>
      <c r="H14" s="45"/>
      <c r="I14" s="45">
        <v>69</v>
      </c>
      <c r="J14" s="45"/>
      <c r="K14" s="46">
        <v>324</v>
      </c>
      <c r="L14" s="47">
        <f>372+524</f>
        <v>896</v>
      </c>
      <c r="M14" s="48">
        <v>0</v>
      </c>
      <c r="N14" s="48">
        <v>0</v>
      </c>
      <c r="O14" s="48">
        <v>2669</v>
      </c>
      <c r="P14" s="45"/>
      <c r="Q14" s="49" t="s">
        <v>46</v>
      </c>
      <c r="R14" s="6">
        <v>9</v>
      </c>
      <c r="S14" s="94" t="s">
        <v>42</v>
      </c>
      <c r="T14" s="14" t="s">
        <v>54</v>
      </c>
      <c r="U14" s="50" t="s">
        <v>47</v>
      </c>
      <c r="V14" s="48">
        <v>1088</v>
      </c>
      <c r="W14" s="31">
        <f t="shared" si="5"/>
        <v>-27923.369999999995</v>
      </c>
      <c r="X14" s="3">
        <v>751278.79</v>
      </c>
      <c r="Y14" s="3">
        <v>723355.42</v>
      </c>
      <c r="Z14" s="104">
        <f t="shared" si="6"/>
        <v>96.28322130590163</v>
      </c>
      <c r="AA14" s="3">
        <f t="shared" si="7"/>
        <v>-53577.74922585511</v>
      </c>
      <c r="AB14" s="3">
        <f t="shared" si="8"/>
        <v>776933.1692258551</v>
      </c>
      <c r="AC14" s="32">
        <f t="shared" si="0"/>
        <v>658417.9400219112</v>
      </c>
      <c r="AD14" s="6">
        <v>9</v>
      </c>
      <c r="AE14" s="94" t="s">
        <v>42</v>
      </c>
      <c r="AF14" s="14" t="s">
        <v>54</v>
      </c>
      <c r="AG14" s="2">
        <f t="shared" si="9"/>
        <v>97567.39715373484</v>
      </c>
      <c r="AH14" s="2">
        <f>0.99*1.078</f>
        <v>1.06722</v>
      </c>
      <c r="AI14" s="30">
        <f t="shared" si="10"/>
        <v>74361.19205523396</v>
      </c>
      <c r="AJ14" s="30">
        <f t="shared" si="11"/>
        <v>17601.282882901596</v>
      </c>
      <c r="AK14" s="2">
        <f t="shared" si="1"/>
        <v>91962.47493813555</v>
      </c>
      <c r="AL14" s="30">
        <f t="shared" si="12"/>
        <v>5604.922215599294</v>
      </c>
      <c r="AM14" s="6">
        <v>9</v>
      </c>
      <c r="AN14" s="94" t="s">
        <v>42</v>
      </c>
      <c r="AO14" s="14" t="s">
        <v>54</v>
      </c>
      <c r="AP14" s="30">
        <f t="shared" si="2"/>
        <v>237926.28245453304</v>
      </c>
      <c r="AQ14" s="2">
        <f>(1.036+0.018)*1.003</f>
        <v>1.057162</v>
      </c>
      <c r="AR14" s="30">
        <f t="shared" si="13"/>
        <v>135906.16349485004</v>
      </c>
      <c r="AS14" s="30">
        <f t="shared" si="14"/>
        <v>37556.49430747712</v>
      </c>
      <c r="AT14" s="9">
        <v>16961.51</v>
      </c>
      <c r="AU14" s="22">
        <f t="shared" si="15"/>
        <v>1934.8159048618254</v>
      </c>
      <c r="AV14" s="6">
        <v>9</v>
      </c>
      <c r="AW14" s="94" t="s">
        <v>42</v>
      </c>
      <c r="AX14" s="14" t="s">
        <v>54</v>
      </c>
      <c r="AY14" s="22">
        <f t="shared" si="16"/>
        <v>1392.5</v>
      </c>
      <c r="AZ14" s="2">
        <v>1392.5</v>
      </c>
      <c r="BA14" s="2"/>
      <c r="BB14" s="2"/>
      <c r="BC14" s="2"/>
      <c r="BD14" s="2"/>
      <c r="BE14" s="2"/>
      <c r="BF14" s="6">
        <v>9</v>
      </c>
      <c r="BG14" s="94" t="s">
        <v>42</v>
      </c>
      <c r="BH14" s="14" t="s">
        <v>54</v>
      </c>
      <c r="BI14" s="31">
        <f t="shared" si="17"/>
        <v>0.16600413530108887</v>
      </c>
      <c r="BJ14" s="31">
        <f t="shared" si="18"/>
        <v>26221.70036982138</v>
      </c>
      <c r="BK14" s="30">
        <f t="shared" si="19"/>
        <v>7377.60422407593</v>
      </c>
      <c r="BL14" s="106">
        <f t="shared" si="20"/>
        <v>10575.494153446733</v>
      </c>
      <c r="BM14" s="6">
        <v>9</v>
      </c>
      <c r="BN14" s="94" t="s">
        <v>42</v>
      </c>
      <c r="BO14" s="14" t="s">
        <v>54</v>
      </c>
      <c r="BP14" s="30">
        <f t="shared" si="3"/>
        <v>51531.48468113414</v>
      </c>
      <c r="BQ14" s="30">
        <v>2454</v>
      </c>
      <c r="BR14" s="22">
        <f t="shared" si="21"/>
        <v>1587.8997286302922</v>
      </c>
      <c r="BS14" s="2"/>
      <c r="BT14" s="2"/>
      <c r="BU14" s="2"/>
      <c r="BV14" s="2"/>
      <c r="BW14" s="6">
        <v>9</v>
      </c>
      <c r="BX14" s="94" t="s">
        <v>42</v>
      </c>
      <c r="BY14" s="14" t="s">
        <v>54</v>
      </c>
      <c r="BZ14" s="30">
        <f t="shared" si="22"/>
        <v>373.86237006237</v>
      </c>
      <c r="CA14" s="2"/>
      <c r="CB14" s="2"/>
      <c r="CC14" s="2">
        <v>44252.54</v>
      </c>
      <c r="CD14" s="2"/>
      <c r="CE14" s="30">
        <f t="shared" si="23"/>
        <v>2863.1825824414777</v>
      </c>
      <c r="CF14" s="6">
        <v>9</v>
      </c>
      <c r="CG14" s="94" t="s">
        <v>42</v>
      </c>
      <c r="CH14" s="14" t="s">
        <v>54</v>
      </c>
      <c r="CI14" s="46">
        <f t="shared" si="4"/>
        <v>183053.193116391</v>
      </c>
      <c r="CJ14" s="38">
        <f t="shared" si="24"/>
        <v>0.59761488708392</v>
      </c>
      <c r="CK14" s="30">
        <f t="shared" si="25"/>
        <v>130323.61935703117</v>
      </c>
      <c r="CL14" s="30">
        <f t="shared" si="26"/>
        <v>36778.65819969469</v>
      </c>
      <c r="CM14" s="30">
        <f t="shared" si="27"/>
        <v>15950.915559665116</v>
      </c>
      <c r="CN14" s="6">
        <v>9</v>
      </c>
      <c r="CO14" s="94" t="s">
        <v>42</v>
      </c>
      <c r="CP14" s="14" t="s">
        <v>54</v>
      </c>
      <c r="CQ14" s="30">
        <f t="shared" si="28"/>
        <v>62265.78906350595</v>
      </c>
      <c r="CR14" s="22">
        <f t="shared" si="29"/>
        <v>5200.558686606229</v>
      </c>
      <c r="CS14" s="22">
        <f t="shared" si="30"/>
        <v>20088.071223290255</v>
      </c>
      <c r="CT14" s="109">
        <f t="shared" si="31"/>
        <v>785.1636427157854</v>
      </c>
      <c r="CU14" s="126">
        <f>121842.68+47893.32</f>
        <v>169736</v>
      </c>
      <c r="CV14" s="127">
        <f>41536.32+121312.83</f>
        <v>162849.15</v>
      </c>
      <c r="CW14" s="84">
        <v>9</v>
      </c>
      <c r="CX14" s="94" t="s">
        <v>42</v>
      </c>
      <c r="CY14" s="14" t="s">
        <v>54</v>
      </c>
      <c r="CZ14" s="116">
        <v>7.3</v>
      </c>
      <c r="DA14" s="2">
        <v>151162.56</v>
      </c>
      <c r="DB14" s="2">
        <f>130406.51+54.1</f>
        <v>130460.61</v>
      </c>
      <c r="DC14" s="15"/>
      <c r="DD14" s="11"/>
      <c r="DE14" s="112"/>
      <c r="DF14" s="84">
        <v>9</v>
      </c>
      <c r="DG14" s="94" t="s">
        <v>42</v>
      </c>
      <c r="DH14" s="14" t="s">
        <v>54</v>
      </c>
      <c r="DI14" s="132">
        <v>7.3</v>
      </c>
      <c r="DJ14" s="133">
        <f>1123.8+33544.96</f>
        <v>34668.76</v>
      </c>
      <c r="DK14" s="134">
        <f>28121.72+2788.46</f>
        <v>30910.18</v>
      </c>
      <c r="DL14" s="23"/>
      <c r="DM14" s="23"/>
    </row>
    <row r="15" spans="1:117" ht="12" customHeight="1">
      <c r="A15" s="6">
        <v>10</v>
      </c>
      <c r="B15" s="7" t="s">
        <v>42</v>
      </c>
      <c r="C15" s="14" t="s">
        <v>55</v>
      </c>
      <c r="D15" s="2">
        <v>663.91</v>
      </c>
      <c r="E15" s="44">
        <v>1947</v>
      </c>
      <c r="F15" s="45">
        <v>2</v>
      </c>
      <c r="G15" s="45">
        <v>2</v>
      </c>
      <c r="H15" s="45"/>
      <c r="I15" s="45">
        <v>12</v>
      </c>
      <c r="J15" s="45"/>
      <c r="K15" s="46">
        <v>89.9</v>
      </c>
      <c r="L15" s="47">
        <f>149+6+36</f>
        <v>191</v>
      </c>
      <c r="M15" s="48">
        <v>0</v>
      </c>
      <c r="N15" s="48">
        <v>0</v>
      </c>
      <c r="O15" s="48">
        <v>995</v>
      </c>
      <c r="P15" s="45"/>
      <c r="Q15" s="49" t="s">
        <v>48</v>
      </c>
      <c r="R15" s="6">
        <v>10</v>
      </c>
      <c r="S15" s="94" t="s">
        <v>42</v>
      </c>
      <c r="T15" s="14" t="s">
        <v>55</v>
      </c>
      <c r="U15" s="50" t="s">
        <v>47</v>
      </c>
      <c r="V15" s="48">
        <v>576</v>
      </c>
      <c r="W15" s="31">
        <f t="shared" si="5"/>
        <v>-12143.520000000004</v>
      </c>
      <c r="X15" s="3">
        <v>108131.19</v>
      </c>
      <c r="Y15" s="3">
        <v>95987.67</v>
      </c>
      <c r="Z15" s="104">
        <f t="shared" si="6"/>
        <v>88.7696417657107</v>
      </c>
      <c r="AA15" s="3">
        <f t="shared" si="7"/>
        <v>-71132.79090614805</v>
      </c>
      <c r="AB15" s="3">
        <f t="shared" si="8"/>
        <v>167120.46090614804</v>
      </c>
      <c r="AC15" s="32">
        <f t="shared" si="0"/>
        <v>141627.50924249834</v>
      </c>
      <c r="AD15" s="6">
        <v>10</v>
      </c>
      <c r="AE15" s="94" t="s">
        <v>42</v>
      </c>
      <c r="AF15" s="14" t="s">
        <v>55</v>
      </c>
      <c r="AG15" s="2">
        <f t="shared" si="9"/>
        <v>28580.348661195054</v>
      </c>
      <c r="AH15" s="2">
        <f>0.29*1.078</f>
        <v>0.31262</v>
      </c>
      <c r="AI15" s="30">
        <f t="shared" si="10"/>
        <v>21782.57141011904</v>
      </c>
      <c r="AJ15" s="30">
        <f t="shared" si="11"/>
        <v>5155.931349536831</v>
      </c>
      <c r="AK15" s="2">
        <f t="shared" si="1"/>
        <v>26938.50275965587</v>
      </c>
      <c r="AL15" s="30">
        <f t="shared" si="12"/>
        <v>1641.845901539187</v>
      </c>
      <c r="AM15" s="6">
        <v>10</v>
      </c>
      <c r="AN15" s="94" t="s">
        <v>42</v>
      </c>
      <c r="AO15" s="14" t="s">
        <v>55</v>
      </c>
      <c r="AP15" s="30">
        <f t="shared" si="2"/>
        <v>53054.36032566468</v>
      </c>
      <c r="AQ15" s="2">
        <f>(0.244+0.018)*1.003</f>
        <v>0.26278599999999996</v>
      </c>
      <c r="AR15" s="30">
        <f t="shared" si="13"/>
        <v>33783.12603002913</v>
      </c>
      <c r="AS15" s="30">
        <f t="shared" si="14"/>
        <v>9335.675055558828</v>
      </c>
      <c r="AT15" s="9">
        <v>8.8</v>
      </c>
      <c r="AU15" s="22">
        <f t="shared" si="15"/>
        <v>471.8797673828327</v>
      </c>
      <c r="AV15" s="6">
        <v>10</v>
      </c>
      <c r="AW15" s="94" t="s">
        <v>42</v>
      </c>
      <c r="AX15" s="14" t="s">
        <v>55</v>
      </c>
      <c r="AY15" s="22">
        <f t="shared" si="16"/>
        <v>0</v>
      </c>
      <c r="AZ15" s="2"/>
      <c r="BA15" s="2"/>
      <c r="BB15" s="2"/>
      <c r="BC15" s="2"/>
      <c r="BD15" s="2"/>
      <c r="BE15" s="2"/>
      <c r="BF15" s="6">
        <v>10</v>
      </c>
      <c r="BG15" s="94" t="s">
        <v>42</v>
      </c>
      <c r="BH15" s="14" t="s">
        <v>55</v>
      </c>
      <c r="BI15" s="31">
        <f t="shared" si="17"/>
        <v>0.03553041860399945</v>
      </c>
      <c r="BJ15" s="31">
        <f t="shared" si="18"/>
        <v>5612.317963998875</v>
      </c>
      <c r="BK15" s="30">
        <f t="shared" si="19"/>
        <v>1579.0532320210998</v>
      </c>
      <c r="BL15" s="106">
        <f t="shared" si="20"/>
        <v>2263.5082766739156</v>
      </c>
      <c r="BM15" s="6">
        <v>10</v>
      </c>
      <c r="BN15" s="94" t="s">
        <v>42</v>
      </c>
      <c r="BO15" s="14" t="s">
        <v>55</v>
      </c>
      <c r="BP15" s="30">
        <f t="shared" si="3"/>
        <v>1905.6995313824489</v>
      </c>
      <c r="BQ15" s="30"/>
      <c r="BR15" s="22">
        <f t="shared" si="21"/>
        <v>339.8634736242101</v>
      </c>
      <c r="BS15" s="2"/>
      <c r="BT15" s="2"/>
      <c r="BU15" s="2"/>
      <c r="BV15" s="2"/>
      <c r="BW15" s="6">
        <v>10</v>
      </c>
      <c r="BX15" s="94" t="s">
        <v>42</v>
      </c>
      <c r="BY15" s="14" t="s">
        <v>55</v>
      </c>
      <c r="BZ15" s="30">
        <f t="shared" si="22"/>
        <v>65.01954261954262</v>
      </c>
      <c r="CA15" s="2">
        <f>18.5*I15*4</f>
        <v>888</v>
      </c>
      <c r="CB15" s="2"/>
      <c r="CC15" s="2"/>
      <c r="CD15" s="2"/>
      <c r="CE15" s="30">
        <f t="shared" si="23"/>
        <v>612.8165151386961</v>
      </c>
      <c r="CF15" s="6">
        <v>10</v>
      </c>
      <c r="CG15" s="94" t="s">
        <v>42</v>
      </c>
      <c r="CH15" s="14" t="s">
        <v>55</v>
      </c>
      <c r="CI15" s="46">
        <f t="shared" si="4"/>
        <v>39179.48529672238</v>
      </c>
      <c r="CJ15" s="38">
        <f t="shared" si="24"/>
        <v>0.12790950697439804</v>
      </c>
      <c r="CK15" s="30">
        <f t="shared" si="25"/>
        <v>27893.598803096993</v>
      </c>
      <c r="CL15" s="30">
        <f t="shared" si="26"/>
        <v>7871.858849530708</v>
      </c>
      <c r="CM15" s="30">
        <f t="shared" si="27"/>
        <v>3414.027644094673</v>
      </c>
      <c r="CN15" s="6">
        <v>10</v>
      </c>
      <c r="CO15" s="94" t="s">
        <v>42</v>
      </c>
      <c r="CP15" s="14" t="s">
        <v>55</v>
      </c>
      <c r="CQ15" s="30">
        <f t="shared" si="28"/>
        <v>13326.95445280384</v>
      </c>
      <c r="CR15" s="22">
        <f t="shared" si="29"/>
        <v>1113.0929164785264</v>
      </c>
      <c r="CS15" s="22">
        <f t="shared" si="30"/>
        <v>4299.5168657450695</v>
      </c>
      <c r="CT15" s="109">
        <f t="shared" si="31"/>
        <v>168.05119250634675</v>
      </c>
      <c r="CU15" s="126">
        <f>26078.44+10250.76</f>
        <v>36329.2</v>
      </c>
      <c r="CV15" s="127">
        <f>7694.1+24540.58</f>
        <v>32234.68</v>
      </c>
      <c r="CW15" s="84">
        <v>10</v>
      </c>
      <c r="CX15" s="94" t="s">
        <v>42</v>
      </c>
      <c r="CY15" s="14" t="s">
        <v>55</v>
      </c>
      <c r="CZ15" s="116">
        <v>0</v>
      </c>
      <c r="DA15" s="2">
        <v>0</v>
      </c>
      <c r="DB15" s="2">
        <v>0</v>
      </c>
      <c r="DC15" s="15"/>
      <c r="DD15" s="11"/>
      <c r="DE15" s="112"/>
      <c r="DF15" s="84">
        <v>10</v>
      </c>
      <c r="DG15" s="94" t="s">
        <v>42</v>
      </c>
      <c r="DH15" s="14" t="s">
        <v>55</v>
      </c>
      <c r="DI15" s="132">
        <v>0</v>
      </c>
      <c r="DJ15" s="133">
        <v>0</v>
      </c>
      <c r="DK15" s="134">
        <v>0</v>
      </c>
      <c r="DL15" s="23"/>
      <c r="DM15" s="23"/>
    </row>
    <row r="16" spans="1:117" ht="12" customHeight="1">
      <c r="A16" s="6">
        <v>11</v>
      </c>
      <c r="B16" s="7" t="s">
        <v>42</v>
      </c>
      <c r="C16" s="8">
        <v>13</v>
      </c>
      <c r="D16" s="2">
        <v>2566.6</v>
      </c>
      <c r="E16" s="44">
        <v>1965</v>
      </c>
      <c r="F16" s="45">
        <v>4</v>
      </c>
      <c r="G16" s="45">
        <v>5</v>
      </c>
      <c r="H16" s="45"/>
      <c r="I16" s="45">
        <v>64</v>
      </c>
      <c r="J16" s="45"/>
      <c r="K16" s="46">
        <v>295.9</v>
      </c>
      <c r="L16" s="47">
        <f>649+26+466</f>
        <v>1141</v>
      </c>
      <c r="M16" s="48">
        <v>0</v>
      </c>
      <c r="N16" s="48">
        <v>0</v>
      </c>
      <c r="O16" s="48">
        <v>2165</v>
      </c>
      <c r="P16" s="45"/>
      <c r="Q16" s="49" t="s">
        <v>46</v>
      </c>
      <c r="R16" s="6">
        <v>11</v>
      </c>
      <c r="S16" s="94" t="s">
        <v>42</v>
      </c>
      <c r="T16" s="14">
        <v>13</v>
      </c>
      <c r="U16" s="50" t="s">
        <v>47</v>
      </c>
      <c r="V16" s="48">
        <v>1054</v>
      </c>
      <c r="W16" s="31">
        <f t="shared" si="5"/>
        <v>-28724.75</v>
      </c>
      <c r="X16" s="3">
        <v>621723.99</v>
      </c>
      <c r="Y16" s="3">
        <v>592999.24</v>
      </c>
      <c r="Z16" s="104">
        <f t="shared" si="6"/>
        <v>95.37982280529339</v>
      </c>
      <c r="AA16" s="3">
        <f t="shared" si="7"/>
        <v>-126105.34269582189</v>
      </c>
      <c r="AB16" s="3">
        <f t="shared" si="8"/>
        <v>719104.5826958219</v>
      </c>
      <c r="AC16" s="32">
        <f t="shared" si="0"/>
        <v>609410.663301544</v>
      </c>
      <c r="AD16" s="6">
        <v>11</v>
      </c>
      <c r="AE16" s="94" t="s">
        <v>42</v>
      </c>
      <c r="AF16" s="14">
        <v>13</v>
      </c>
      <c r="AG16" s="2">
        <f t="shared" si="9"/>
        <v>93625.2800970183</v>
      </c>
      <c r="AH16" s="2">
        <f>0.95*1.078</f>
        <v>1.0241</v>
      </c>
      <c r="AI16" s="30">
        <f t="shared" si="10"/>
        <v>71356.69944694168</v>
      </c>
      <c r="AJ16" s="30">
        <f t="shared" si="11"/>
        <v>16890.119938137894</v>
      </c>
      <c r="AK16" s="2">
        <f t="shared" si="1"/>
        <v>88246.81938507958</v>
      </c>
      <c r="AL16" s="30">
        <f t="shared" si="12"/>
        <v>5378.460711938716</v>
      </c>
      <c r="AM16" s="6">
        <v>11</v>
      </c>
      <c r="AN16" s="94" t="s">
        <v>42</v>
      </c>
      <c r="AO16" s="14">
        <v>13</v>
      </c>
      <c r="AP16" s="30">
        <f t="shared" si="2"/>
        <v>225751.44389098795</v>
      </c>
      <c r="AQ16" s="2">
        <f>(0.963+0.018)*1.003</f>
        <v>0.9839429999999999</v>
      </c>
      <c r="AR16" s="30">
        <f t="shared" si="13"/>
        <v>126493.3077689259</v>
      </c>
      <c r="AS16" s="30">
        <f t="shared" si="14"/>
        <v>34955.33293703516</v>
      </c>
      <c r="AT16" s="9">
        <v>25977.64</v>
      </c>
      <c r="AU16" s="22">
        <f t="shared" si="15"/>
        <v>1773.6823297662295</v>
      </c>
      <c r="AV16" s="6">
        <v>11</v>
      </c>
      <c r="AW16" s="94" t="s">
        <v>42</v>
      </c>
      <c r="AX16" s="14">
        <v>13</v>
      </c>
      <c r="AY16" s="22">
        <f t="shared" si="16"/>
        <v>0</v>
      </c>
      <c r="AZ16" s="10"/>
      <c r="BA16" s="2"/>
      <c r="BB16" s="2"/>
      <c r="BC16" s="2"/>
      <c r="BD16" s="2"/>
      <c r="BE16" s="2"/>
      <c r="BF16" s="6">
        <v>11</v>
      </c>
      <c r="BG16" s="94" t="s">
        <v>42</v>
      </c>
      <c r="BH16" s="14">
        <v>13</v>
      </c>
      <c r="BI16" s="31">
        <f t="shared" si="17"/>
        <v>0.13735652782609842</v>
      </c>
      <c r="BJ16" s="31">
        <f t="shared" si="18"/>
        <v>21696.578280790338</v>
      </c>
      <c r="BK16" s="30">
        <f t="shared" si="19"/>
        <v>6104.438892779677</v>
      </c>
      <c r="BL16" s="106">
        <f t="shared" si="20"/>
        <v>8750.463681690699</v>
      </c>
      <c r="BM16" s="6">
        <v>11</v>
      </c>
      <c r="BN16" s="94" t="s">
        <v>42</v>
      </c>
      <c r="BO16" s="14">
        <v>13</v>
      </c>
      <c r="BP16" s="30">
        <f t="shared" si="3"/>
        <v>65475.862587963864</v>
      </c>
      <c r="BQ16" s="30"/>
      <c r="BR16" s="22">
        <f t="shared" si="21"/>
        <v>1313.8732530070304</v>
      </c>
      <c r="BS16" s="2"/>
      <c r="BT16" s="2"/>
      <c r="BU16" s="2"/>
      <c r="BV16" s="2"/>
      <c r="BW16" s="6">
        <v>11</v>
      </c>
      <c r="BX16" s="94" t="s">
        <v>42</v>
      </c>
      <c r="BY16" s="14">
        <v>13</v>
      </c>
      <c r="BZ16" s="30">
        <f t="shared" si="22"/>
        <v>346.77089397089395</v>
      </c>
      <c r="CA16" s="2">
        <f>18.5*I16*4</f>
        <v>4736</v>
      </c>
      <c r="CB16" s="2"/>
      <c r="CC16" s="2">
        <v>44252.54</v>
      </c>
      <c r="CD16" s="2">
        <v>12457.6</v>
      </c>
      <c r="CE16" s="30">
        <f t="shared" si="23"/>
        <v>2369.078440985943</v>
      </c>
      <c r="CF16" s="6">
        <v>11</v>
      </c>
      <c r="CG16" s="94" t="s">
        <v>42</v>
      </c>
      <c r="CH16" s="14">
        <v>13</v>
      </c>
      <c r="CI16" s="46">
        <f t="shared" si="4"/>
        <v>151463.40160950675</v>
      </c>
      <c r="CJ16" s="38">
        <f t="shared" si="24"/>
        <v>0.49448350017395426</v>
      </c>
      <c r="CK16" s="30">
        <f t="shared" si="25"/>
        <v>107833.45737830238</v>
      </c>
      <c r="CL16" s="30">
        <f t="shared" si="26"/>
        <v>30431.70448284483</v>
      </c>
      <c r="CM16" s="30">
        <f t="shared" si="27"/>
        <v>13198.239748359547</v>
      </c>
      <c r="CN16" s="6">
        <v>11</v>
      </c>
      <c r="CO16" s="94" t="s">
        <v>42</v>
      </c>
      <c r="CP16" s="14">
        <v>13</v>
      </c>
      <c r="CQ16" s="30">
        <f t="shared" si="28"/>
        <v>51520.479129048115</v>
      </c>
      <c r="CR16" s="22">
        <f t="shared" si="29"/>
        <v>4303.089695039667</v>
      </c>
      <c r="CS16" s="22">
        <f t="shared" si="30"/>
        <v>16621.439634319857</v>
      </c>
      <c r="CT16" s="109">
        <f t="shared" si="31"/>
        <v>649.6666576596068</v>
      </c>
      <c r="CU16" s="126">
        <f>100808.3+39628</f>
        <v>140436.3</v>
      </c>
      <c r="CV16" s="127">
        <f>33107.83+99959.76</f>
        <v>133067.59</v>
      </c>
      <c r="CW16" s="84">
        <v>11</v>
      </c>
      <c r="CX16" s="94" t="s">
        <v>42</v>
      </c>
      <c r="CY16" s="14">
        <v>13</v>
      </c>
      <c r="CZ16" s="116">
        <v>7.3</v>
      </c>
      <c r="DA16" s="2">
        <v>164891.67</v>
      </c>
      <c r="DB16" s="2">
        <f>104710.28+564.59</f>
        <v>105274.87</v>
      </c>
      <c r="DC16" s="15"/>
      <c r="DD16" s="11"/>
      <c r="DE16" s="112"/>
      <c r="DF16" s="84">
        <v>11</v>
      </c>
      <c r="DG16" s="94" t="s">
        <v>42</v>
      </c>
      <c r="DH16" s="14">
        <v>13</v>
      </c>
      <c r="DI16" s="132">
        <v>7.3</v>
      </c>
      <c r="DJ16" s="133">
        <f>1948.2+25105.43</f>
        <v>27053.63</v>
      </c>
      <c r="DK16" s="134">
        <f>18755.45+2281.96</f>
        <v>21037.41</v>
      </c>
      <c r="DL16" s="23"/>
      <c r="DM16" s="23"/>
    </row>
    <row r="17" spans="1:117" ht="12" customHeight="1">
      <c r="A17" s="6">
        <v>12</v>
      </c>
      <c r="B17" s="7" t="s">
        <v>42</v>
      </c>
      <c r="C17" s="8" t="s">
        <v>56</v>
      </c>
      <c r="D17" s="2">
        <v>3907.4</v>
      </c>
      <c r="E17" s="44">
        <v>1965</v>
      </c>
      <c r="F17" s="45">
        <v>4</v>
      </c>
      <c r="G17" s="45">
        <v>5</v>
      </c>
      <c r="H17" s="45"/>
      <c r="I17" s="45">
        <v>80</v>
      </c>
      <c r="J17" s="45"/>
      <c r="K17" s="46">
        <v>357</v>
      </c>
      <c r="L17" s="47">
        <f>285+169</f>
        <v>454</v>
      </c>
      <c r="M17" s="48">
        <v>0</v>
      </c>
      <c r="N17" s="48">
        <v>0</v>
      </c>
      <c r="O17" s="48">
        <v>2989</v>
      </c>
      <c r="P17" s="45"/>
      <c r="Q17" s="49" t="s">
        <v>43</v>
      </c>
      <c r="R17" s="6">
        <v>12</v>
      </c>
      <c r="S17" s="94" t="s">
        <v>42</v>
      </c>
      <c r="T17" s="14" t="s">
        <v>56</v>
      </c>
      <c r="U17" s="50" t="s">
        <v>47</v>
      </c>
      <c r="V17" s="48">
        <v>1183</v>
      </c>
      <c r="W17" s="31">
        <f t="shared" si="5"/>
        <v>-50231.08999999997</v>
      </c>
      <c r="X17" s="3">
        <v>946569.45</v>
      </c>
      <c r="Y17" s="3">
        <v>896338.36</v>
      </c>
      <c r="Z17" s="104">
        <f t="shared" si="6"/>
        <v>94.69335398474989</v>
      </c>
      <c r="AA17" s="3">
        <f t="shared" si="7"/>
        <v>25761.00048192509</v>
      </c>
      <c r="AB17" s="3">
        <f t="shared" si="8"/>
        <v>870577.3595180749</v>
      </c>
      <c r="AC17" s="32">
        <f t="shared" si="0"/>
        <v>737777.4233204025</v>
      </c>
      <c r="AD17" s="6">
        <v>12</v>
      </c>
      <c r="AE17" s="94" t="s">
        <v>42</v>
      </c>
      <c r="AF17" s="14" t="s">
        <v>56</v>
      </c>
      <c r="AG17" s="2">
        <f t="shared" si="9"/>
        <v>93625.2800970183</v>
      </c>
      <c r="AH17" s="2">
        <f>0.95*1.078</f>
        <v>1.0241</v>
      </c>
      <c r="AI17" s="30">
        <f t="shared" si="10"/>
        <v>71356.69944694168</v>
      </c>
      <c r="AJ17" s="30">
        <f t="shared" si="11"/>
        <v>16890.119938137894</v>
      </c>
      <c r="AK17" s="2">
        <f t="shared" si="1"/>
        <v>88246.81938507958</v>
      </c>
      <c r="AL17" s="30">
        <f t="shared" si="12"/>
        <v>5378.460711938716</v>
      </c>
      <c r="AM17" s="6">
        <v>12</v>
      </c>
      <c r="AN17" s="94" t="s">
        <v>42</v>
      </c>
      <c r="AO17" s="14" t="s">
        <v>56</v>
      </c>
      <c r="AP17" s="30">
        <f t="shared" si="2"/>
        <v>250511.2722925036</v>
      </c>
      <c r="AQ17" s="2">
        <f>(0.956+0.018)*1.003</f>
        <v>0.9769219999999998</v>
      </c>
      <c r="AR17" s="30">
        <f t="shared" si="13"/>
        <v>125590.70516507015</v>
      </c>
      <c r="AS17" s="30">
        <f t="shared" si="14"/>
        <v>34705.90650425305</v>
      </c>
      <c r="AT17" s="9">
        <v>28094.32</v>
      </c>
      <c r="AU17" s="22">
        <f t="shared" si="15"/>
        <v>1876.0799608856366</v>
      </c>
      <c r="AV17" s="6">
        <v>12</v>
      </c>
      <c r="AW17" s="94" t="s">
        <v>42</v>
      </c>
      <c r="AX17" s="14" t="s">
        <v>56</v>
      </c>
      <c r="AY17" s="22">
        <f t="shared" si="16"/>
        <v>4598.17</v>
      </c>
      <c r="AZ17" s="2">
        <f>2107.75+1392.5</f>
        <v>3500.25</v>
      </c>
      <c r="BA17" s="2">
        <v>1097.92</v>
      </c>
      <c r="BB17" s="2"/>
      <c r="BC17" s="2"/>
      <c r="BD17" s="2"/>
      <c r="BE17" s="2"/>
      <c r="BF17" s="6">
        <v>12</v>
      </c>
      <c r="BG17" s="94" t="s">
        <v>42</v>
      </c>
      <c r="BH17" s="14" t="s">
        <v>56</v>
      </c>
      <c r="BI17" s="31">
        <f t="shared" si="17"/>
        <v>0.20911201466052246</v>
      </c>
      <c r="BJ17" s="31">
        <f t="shared" si="18"/>
        <v>33030.939754679406</v>
      </c>
      <c r="BK17" s="30">
        <f t="shared" si="19"/>
        <v>9293.417178230853</v>
      </c>
      <c r="BL17" s="106">
        <f t="shared" si="20"/>
        <v>13321.733729384494</v>
      </c>
      <c r="BM17" s="6">
        <v>12</v>
      </c>
      <c r="BN17" s="94" t="s">
        <v>42</v>
      </c>
      <c r="BO17" s="14" t="s">
        <v>56</v>
      </c>
      <c r="BP17" s="30">
        <f t="shared" si="3"/>
        <v>51772.940985619214</v>
      </c>
      <c r="BQ17" s="30"/>
      <c r="BR17" s="22">
        <f t="shared" si="21"/>
        <v>2000.2448175795491</v>
      </c>
      <c r="BS17" s="2"/>
      <c r="BT17" s="2"/>
      <c r="BU17" s="2"/>
      <c r="BV17" s="2"/>
      <c r="BW17" s="6">
        <v>12</v>
      </c>
      <c r="BX17" s="94" t="s">
        <v>42</v>
      </c>
      <c r="BY17" s="14" t="s">
        <v>56</v>
      </c>
      <c r="BZ17" s="30">
        <f t="shared" si="22"/>
        <v>433.4636174636174</v>
      </c>
      <c r="CA17" s="2">
        <f>(18.5*I17*1)</f>
        <v>1480</v>
      </c>
      <c r="CB17" s="2"/>
      <c r="CC17" s="2">
        <v>44252.54</v>
      </c>
      <c r="CD17" s="2"/>
      <c r="CE17" s="30">
        <f t="shared" si="23"/>
        <v>3606.692550576044</v>
      </c>
      <c r="CF17" s="6">
        <v>12</v>
      </c>
      <c r="CG17" s="94" t="s">
        <v>42</v>
      </c>
      <c r="CH17" s="14" t="s">
        <v>56</v>
      </c>
      <c r="CI17" s="46">
        <f t="shared" si="4"/>
        <v>230588.3641584145</v>
      </c>
      <c r="CJ17" s="38">
        <f t="shared" si="24"/>
        <v>0.7528032527778808</v>
      </c>
      <c r="CK17" s="30">
        <f t="shared" si="25"/>
        <v>164165.99834800075</v>
      </c>
      <c r="CL17" s="30">
        <f t="shared" si="26"/>
        <v>46329.32365630324</v>
      </c>
      <c r="CM17" s="30">
        <f t="shared" si="27"/>
        <v>20093.042154110535</v>
      </c>
      <c r="CN17" s="6">
        <v>12</v>
      </c>
      <c r="CO17" s="94" t="s">
        <v>42</v>
      </c>
      <c r="CP17" s="14" t="s">
        <v>56</v>
      </c>
      <c r="CQ17" s="30">
        <f t="shared" si="28"/>
        <v>78434.94122529519</v>
      </c>
      <c r="CR17" s="22">
        <f t="shared" si="29"/>
        <v>6551.03743255591</v>
      </c>
      <c r="CS17" s="22">
        <f t="shared" si="30"/>
        <v>25304.532543887402</v>
      </c>
      <c r="CT17" s="109">
        <f t="shared" si="31"/>
        <v>989.0545851083722</v>
      </c>
      <c r="CU17" s="126">
        <f>153482.44+60330.16</f>
        <v>213812.6</v>
      </c>
      <c r="CV17" s="127">
        <f>49778.19+157886.66</f>
        <v>207664.85</v>
      </c>
      <c r="CW17" s="84">
        <v>12</v>
      </c>
      <c r="CX17" s="94" t="s">
        <v>42</v>
      </c>
      <c r="CY17" s="14" t="s">
        <v>56</v>
      </c>
      <c r="CZ17" s="116">
        <v>7.3</v>
      </c>
      <c r="DA17" s="2">
        <v>162830.88</v>
      </c>
      <c r="DB17" s="2">
        <f>135483.49+1397.47</f>
        <v>136880.96</v>
      </c>
      <c r="DC17" s="15"/>
      <c r="DD17" s="11"/>
      <c r="DE17" s="112"/>
      <c r="DF17" s="84">
        <v>12</v>
      </c>
      <c r="DG17" s="94" t="s">
        <v>42</v>
      </c>
      <c r="DH17" s="14" t="s">
        <v>56</v>
      </c>
      <c r="DI17" s="132">
        <v>7.3</v>
      </c>
      <c r="DJ17" s="133">
        <f>4958.55+63020.9</f>
        <v>67979.45</v>
      </c>
      <c r="DK17" s="134">
        <f>53227.51+5526.54</f>
        <v>58754.05</v>
      </c>
      <c r="DL17" s="23"/>
      <c r="DM17" s="23"/>
    </row>
    <row r="18" spans="1:117" ht="12" customHeight="1">
      <c r="A18" s="6">
        <v>13</v>
      </c>
      <c r="B18" s="7" t="s">
        <v>42</v>
      </c>
      <c r="C18" s="8" t="s">
        <v>57</v>
      </c>
      <c r="D18" s="2">
        <v>3973.6</v>
      </c>
      <c r="E18" s="44">
        <v>1967</v>
      </c>
      <c r="F18" s="45">
        <v>6</v>
      </c>
      <c r="G18" s="45">
        <v>5</v>
      </c>
      <c r="H18" s="45"/>
      <c r="I18" s="45">
        <v>90</v>
      </c>
      <c r="J18" s="45"/>
      <c r="K18" s="46">
        <v>506.8</v>
      </c>
      <c r="L18" s="47">
        <f>475+214</f>
        <v>689</v>
      </c>
      <c r="M18" s="48">
        <v>0</v>
      </c>
      <c r="N18" s="48">
        <v>0</v>
      </c>
      <c r="O18" s="48">
        <v>3147</v>
      </c>
      <c r="P18" s="45"/>
      <c r="Q18" s="49" t="s">
        <v>43</v>
      </c>
      <c r="R18" s="6">
        <v>13</v>
      </c>
      <c r="S18" s="94" t="s">
        <v>42</v>
      </c>
      <c r="T18" s="14" t="s">
        <v>57</v>
      </c>
      <c r="U18" s="50" t="s">
        <v>44</v>
      </c>
      <c r="V18" s="48">
        <v>1083</v>
      </c>
      <c r="W18" s="31">
        <f t="shared" si="5"/>
        <v>-1225.829999999958</v>
      </c>
      <c r="X18" s="3">
        <v>962574.12</v>
      </c>
      <c r="Y18" s="3">
        <v>961348.29</v>
      </c>
      <c r="Z18" s="104">
        <f t="shared" si="6"/>
        <v>99.87265084583824</v>
      </c>
      <c r="AA18" s="3">
        <f t="shared" si="7"/>
        <v>-60459.14041256183</v>
      </c>
      <c r="AB18" s="3">
        <f t="shared" si="8"/>
        <v>1021807.4304125619</v>
      </c>
      <c r="AC18" s="32">
        <f t="shared" si="0"/>
        <v>865938.5003496287</v>
      </c>
      <c r="AD18" s="6">
        <v>13</v>
      </c>
      <c r="AE18" s="94" t="s">
        <v>42</v>
      </c>
      <c r="AF18" s="14" t="s">
        <v>57</v>
      </c>
      <c r="AG18" s="2">
        <f t="shared" si="9"/>
        <v>120234.57022985506</v>
      </c>
      <c r="AH18" s="2">
        <f>1.22*1.078</f>
        <v>1.31516</v>
      </c>
      <c r="AI18" s="30">
        <f t="shared" si="10"/>
        <v>91637.02455291458</v>
      </c>
      <c r="AJ18" s="30">
        <f t="shared" si="11"/>
        <v>21690.469815292876</v>
      </c>
      <c r="AK18" s="2">
        <f t="shared" si="1"/>
        <v>113327.49436820745</v>
      </c>
      <c r="AL18" s="30">
        <f t="shared" si="12"/>
        <v>6907.075861647615</v>
      </c>
      <c r="AM18" s="6">
        <v>13</v>
      </c>
      <c r="AN18" s="94" t="s">
        <v>42</v>
      </c>
      <c r="AO18" s="14" t="s">
        <v>57</v>
      </c>
      <c r="AP18" s="30">
        <f t="shared" si="2"/>
        <v>347601.88329609804</v>
      </c>
      <c r="AQ18" s="2">
        <f>(1.04+0.018)*1.003</f>
        <v>1.0611739999999998</v>
      </c>
      <c r="AR18" s="30">
        <f t="shared" si="13"/>
        <v>136421.93641133903</v>
      </c>
      <c r="AS18" s="30">
        <f t="shared" si="14"/>
        <v>37699.023697638324</v>
      </c>
      <c r="AT18" s="9">
        <v>113484.61</v>
      </c>
      <c r="AU18" s="22">
        <f t="shared" si="15"/>
        <v>2014.954648016753</v>
      </c>
      <c r="AV18" s="6">
        <v>13</v>
      </c>
      <c r="AW18" s="94" t="s">
        <v>42</v>
      </c>
      <c r="AX18" s="14" t="s">
        <v>57</v>
      </c>
      <c r="AY18" s="22">
        <f t="shared" si="16"/>
        <v>1392.5</v>
      </c>
      <c r="AZ18" s="10">
        <v>1392.5</v>
      </c>
      <c r="BA18" s="2"/>
      <c r="BB18" s="2"/>
      <c r="BC18" s="2"/>
      <c r="BD18" s="2"/>
      <c r="BE18" s="2"/>
      <c r="BF18" s="6">
        <v>13</v>
      </c>
      <c r="BG18" s="94" t="s">
        <v>42</v>
      </c>
      <c r="BH18" s="14" t="s">
        <v>57</v>
      </c>
      <c r="BI18" s="31">
        <f t="shared" si="17"/>
        <v>0.2126548347891314</v>
      </c>
      <c r="BJ18" s="31">
        <f t="shared" si="18"/>
        <v>33590.556945588905</v>
      </c>
      <c r="BK18" s="30">
        <f t="shared" si="19"/>
        <v>9450.86822424582</v>
      </c>
      <c r="BL18" s="106">
        <f t="shared" si="20"/>
        <v>13547.433369269136</v>
      </c>
      <c r="BM18" s="6">
        <v>13</v>
      </c>
      <c r="BN18" s="94" t="s">
        <v>42</v>
      </c>
      <c r="BO18" s="14" t="s">
        <v>57</v>
      </c>
      <c r="BP18" s="30">
        <f t="shared" si="3"/>
        <v>50442.117860556915</v>
      </c>
      <c r="BQ18" s="30"/>
      <c r="BR18" s="22">
        <f t="shared" si="21"/>
        <v>2034.1333897563843</v>
      </c>
      <c r="BS18" s="2"/>
      <c r="BT18" s="2"/>
      <c r="BU18" s="2"/>
      <c r="BV18" s="2"/>
      <c r="BW18" s="6">
        <v>13</v>
      </c>
      <c r="BX18" s="94" t="s">
        <v>42</v>
      </c>
      <c r="BY18" s="14" t="s">
        <v>57</v>
      </c>
      <c r="BZ18" s="30">
        <f t="shared" si="22"/>
        <v>487.6465696465696</v>
      </c>
      <c r="CA18" s="2"/>
      <c r="CB18" s="2"/>
      <c r="CC18" s="2">
        <v>44252.54</v>
      </c>
      <c r="CD18" s="2"/>
      <c r="CE18" s="30">
        <f t="shared" si="23"/>
        <v>3667.797901153956</v>
      </c>
      <c r="CF18" s="6">
        <v>13</v>
      </c>
      <c r="CG18" s="94" t="s">
        <v>42</v>
      </c>
      <c r="CH18" s="14" t="s">
        <v>57</v>
      </c>
      <c r="CI18" s="46">
        <f t="shared" si="4"/>
        <v>234495.0411577714</v>
      </c>
      <c r="CJ18" s="38">
        <f t="shared" si="24"/>
        <v>0.765557405240873</v>
      </c>
      <c r="CK18" s="30">
        <f t="shared" si="25"/>
        <v>166947.33353012637</v>
      </c>
      <c r="CL18" s="30">
        <f t="shared" si="26"/>
        <v>47114.24488936033</v>
      </c>
      <c r="CM18" s="30">
        <f t="shared" si="27"/>
        <v>20433.462738284696</v>
      </c>
      <c r="CN18" s="6">
        <v>13</v>
      </c>
      <c r="CO18" s="94" t="s">
        <v>42</v>
      </c>
      <c r="CP18" s="14" t="s">
        <v>57</v>
      </c>
      <c r="CQ18" s="30">
        <f t="shared" si="28"/>
        <v>79763.80264442672</v>
      </c>
      <c r="CR18" s="22">
        <f t="shared" si="29"/>
        <v>6662.026498951774</v>
      </c>
      <c r="CS18" s="22">
        <f t="shared" si="30"/>
        <v>25733.24730418974</v>
      </c>
      <c r="CT18" s="109">
        <f t="shared" si="31"/>
        <v>1005.8113577792465</v>
      </c>
      <c r="CU18" s="126">
        <f>156082.76+61352.24</f>
        <v>217435</v>
      </c>
      <c r="CV18" s="127">
        <f>51356.75+156103.86</f>
        <v>207460.61</v>
      </c>
      <c r="CW18" s="84">
        <v>13</v>
      </c>
      <c r="CX18" s="94" t="s">
        <v>42</v>
      </c>
      <c r="CY18" s="14" t="s">
        <v>57</v>
      </c>
      <c r="CZ18" s="116">
        <v>7.3</v>
      </c>
      <c r="DA18" s="2">
        <v>177609</v>
      </c>
      <c r="DB18" s="2">
        <f>154700.5+4044.1</f>
        <v>158744.6</v>
      </c>
      <c r="DC18" s="15"/>
      <c r="DD18" s="11"/>
      <c r="DE18" s="112"/>
      <c r="DF18" s="84">
        <v>13</v>
      </c>
      <c r="DG18" s="94" t="s">
        <v>42</v>
      </c>
      <c r="DH18" s="14" t="s">
        <v>57</v>
      </c>
      <c r="DI18" s="132">
        <v>7.3</v>
      </c>
      <c r="DJ18" s="133">
        <f>3769.26+50016.68</f>
        <v>53785.94</v>
      </c>
      <c r="DK18" s="134">
        <f>35308.05+3992.85</f>
        <v>39300.9</v>
      </c>
      <c r="DL18" s="23"/>
      <c r="DM18" s="23"/>
    </row>
    <row r="19" spans="1:117" ht="12" customHeight="1">
      <c r="A19" s="6">
        <v>14</v>
      </c>
      <c r="B19" s="7" t="s">
        <v>42</v>
      </c>
      <c r="C19" s="8" t="s">
        <v>58</v>
      </c>
      <c r="D19" s="2">
        <v>3955.7</v>
      </c>
      <c r="E19" s="44">
        <v>1968</v>
      </c>
      <c r="F19" s="45">
        <v>6</v>
      </c>
      <c r="G19" s="45">
        <v>5</v>
      </c>
      <c r="H19" s="45"/>
      <c r="I19" s="45">
        <v>90</v>
      </c>
      <c r="J19" s="45"/>
      <c r="K19" s="46">
        <v>515.1</v>
      </c>
      <c r="L19" s="47">
        <f>799.4</f>
        <v>799.4</v>
      </c>
      <c r="M19" s="48">
        <v>0</v>
      </c>
      <c r="N19" s="48">
        <v>0</v>
      </c>
      <c r="O19" s="48">
        <v>4235.1</v>
      </c>
      <c r="P19" s="45"/>
      <c r="Q19" s="49" t="s">
        <v>43</v>
      </c>
      <c r="R19" s="6">
        <v>14</v>
      </c>
      <c r="S19" s="94" t="s">
        <v>42</v>
      </c>
      <c r="T19" s="14" t="s">
        <v>58</v>
      </c>
      <c r="U19" s="50" t="s">
        <v>44</v>
      </c>
      <c r="V19" s="48">
        <v>1132</v>
      </c>
      <c r="W19" s="31">
        <f t="shared" si="5"/>
        <v>-37705.95999999996</v>
      </c>
      <c r="X19" s="3">
        <v>958262.38</v>
      </c>
      <c r="Y19" s="3">
        <v>920556.42</v>
      </c>
      <c r="Z19" s="104">
        <f t="shared" si="6"/>
        <v>96.06517371578336</v>
      </c>
      <c r="AA19" s="3">
        <f t="shared" si="7"/>
        <v>-62393.71415275929</v>
      </c>
      <c r="AB19" s="3">
        <f t="shared" si="8"/>
        <v>982950.1341527593</v>
      </c>
      <c r="AC19" s="32">
        <f t="shared" si="0"/>
        <v>833008.5882650503</v>
      </c>
      <c r="AD19" s="6">
        <v>14</v>
      </c>
      <c r="AE19" s="94" t="s">
        <v>42</v>
      </c>
      <c r="AF19" s="14" t="s">
        <v>58</v>
      </c>
      <c r="AG19" s="2">
        <f t="shared" si="9"/>
        <v>137974.0969850796</v>
      </c>
      <c r="AH19" s="2">
        <f>1.4*1.078</f>
        <v>1.5092</v>
      </c>
      <c r="AI19" s="30">
        <f t="shared" si="10"/>
        <v>105157.24129022985</v>
      </c>
      <c r="AJ19" s="30">
        <f t="shared" si="11"/>
        <v>24890.70306672953</v>
      </c>
      <c r="AK19" s="2">
        <f t="shared" si="1"/>
        <v>130047.94435695939</v>
      </c>
      <c r="AL19" s="30">
        <f t="shared" si="12"/>
        <v>7926.152628120213</v>
      </c>
      <c r="AM19" s="6">
        <v>14</v>
      </c>
      <c r="AN19" s="94" t="s">
        <v>42</v>
      </c>
      <c r="AO19" s="14" t="s">
        <v>58</v>
      </c>
      <c r="AP19" s="30">
        <f t="shared" si="2"/>
        <v>326303.0046622912</v>
      </c>
      <c r="AQ19" s="2">
        <f>(1.042+0.018)*1.003</f>
        <v>1.06318</v>
      </c>
      <c r="AR19" s="30">
        <f t="shared" si="13"/>
        <v>136679.82286958356</v>
      </c>
      <c r="AS19" s="30">
        <f t="shared" si="14"/>
        <v>37770.28839271893</v>
      </c>
      <c r="AT19" s="9">
        <v>83195.66</v>
      </c>
      <c r="AU19" s="22">
        <f t="shared" si="15"/>
        <v>2016.612458994871</v>
      </c>
      <c r="AV19" s="6">
        <v>14</v>
      </c>
      <c r="AW19" s="94" t="s">
        <v>42</v>
      </c>
      <c r="AX19" s="14" t="s">
        <v>58</v>
      </c>
      <c r="AY19" s="22">
        <f t="shared" si="16"/>
        <v>10306.68</v>
      </c>
      <c r="AZ19" s="10"/>
      <c r="BA19" s="2">
        <v>10306.68</v>
      </c>
      <c r="BB19" s="2"/>
      <c r="BC19" s="2"/>
      <c r="BD19" s="2"/>
      <c r="BE19" s="2"/>
      <c r="BF19" s="6">
        <v>14</v>
      </c>
      <c r="BG19" s="94" t="s">
        <v>42</v>
      </c>
      <c r="BH19" s="14" t="s">
        <v>58</v>
      </c>
      <c r="BI19" s="31">
        <f t="shared" si="17"/>
        <v>0.2116968819144773</v>
      </c>
      <c r="BJ19" s="31">
        <f t="shared" si="18"/>
        <v>33439.24051481428</v>
      </c>
      <c r="BK19" s="30">
        <f t="shared" si="19"/>
        <v>9408.294603042377</v>
      </c>
      <c r="BL19" s="106">
        <f t="shared" si="20"/>
        <v>13486.405823137186</v>
      </c>
      <c r="BM19" s="6">
        <v>14</v>
      </c>
      <c r="BN19" s="94" t="s">
        <v>42</v>
      </c>
      <c r="BO19" s="14" t="s">
        <v>58</v>
      </c>
      <c r="BP19" s="30">
        <f t="shared" si="3"/>
        <v>22637.672192621714</v>
      </c>
      <c r="BQ19" s="30">
        <v>3599.2</v>
      </c>
      <c r="BR19" s="22">
        <f t="shared" si="21"/>
        <v>2024.970165557512</v>
      </c>
      <c r="BS19" s="2"/>
      <c r="BT19" s="2"/>
      <c r="BU19" s="2"/>
      <c r="BV19" s="2"/>
      <c r="BW19" s="6">
        <v>14</v>
      </c>
      <c r="BX19" s="94" t="s">
        <v>42</v>
      </c>
      <c r="BY19" s="14" t="s">
        <v>58</v>
      </c>
      <c r="BZ19" s="30">
        <f t="shared" si="22"/>
        <v>487.6465696465696</v>
      </c>
      <c r="CA19" s="2"/>
      <c r="CB19" s="2"/>
      <c r="CC19" s="2"/>
      <c r="CD19" s="2">
        <v>12874.58</v>
      </c>
      <c r="CE19" s="30">
        <f t="shared" si="23"/>
        <v>3651.2754574176324</v>
      </c>
      <c r="CF19" s="6">
        <v>14</v>
      </c>
      <c r="CG19" s="94" t="s">
        <v>42</v>
      </c>
      <c r="CH19" s="14" t="s">
        <v>58</v>
      </c>
      <c r="CI19" s="46">
        <f t="shared" si="4"/>
        <v>233438.70402350422</v>
      </c>
      <c r="CJ19" s="38">
        <f t="shared" si="24"/>
        <v>0.7621087748921184</v>
      </c>
      <c r="CK19" s="30">
        <f t="shared" si="25"/>
        <v>166195.28066366038</v>
      </c>
      <c r="CL19" s="30">
        <f t="shared" si="26"/>
        <v>46902.007879213474</v>
      </c>
      <c r="CM19" s="30">
        <f t="shared" si="27"/>
        <v>20341.415480630352</v>
      </c>
      <c r="CN19" s="6">
        <v>14</v>
      </c>
      <c r="CO19" s="94" t="s">
        <v>42</v>
      </c>
      <c r="CP19" s="14" t="s">
        <v>58</v>
      </c>
      <c r="CQ19" s="30">
        <f t="shared" si="28"/>
        <v>79404.48815194251</v>
      </c>
      <c r="CR19" s="22">
        <f t="shared" si="29"/>
        <v>6632.015860152892</v>
      </c>
      <c r="CS19" s="22">
        <f t="shared" si="30"/>
        <v>25617.3259415098</v>
      </c>
      <c r="CT19" s="109">
        <f t="shared" si="31"/>
        <v>1001.2804479483</v>
      </c>
      <c r="CU19" s="126">
        <f>155378.25+61076.2</f>
        <v>216454.45</v>
      </c>
      <c r="CV19" s="127">
        <f>54149.35+151785.01</f>
        <v>205934.36000000002</v>
      </c>
      <c r="CW19" s="84">
        <v>14</v>
      </c>
      <c r="CX19" s="94" t="s">
        <v>42</v>
      </c>
      <c r="CY19" s="14" t="s">
        <v>58</v>
      </c>
      <c r="CZ19" s="116">
        <v>7.3</v>
      </c>
      <c r="DA19" s="2">
        <v>152337.86</v>
      </c>
      <c r="DB19" s="2">
        <f>139462.25+10.8</f>
        <v>139473.05</v>
      </c>
      <c r="DC19" s="15"/>
      <c r="DD19" s="11"/>
      <c r="DE19" s="51"/>
      <c r="DF19" s="84">
        <v>14</v>
      </c>
      <c r="DG19" s="94" t="s">
        <v>42</v>
      </c>
      <c r="DH19" s="14" t="s">
        <v>58</v>
      </c>
      <c r="DI19" s="132">
        <v>7.3</v>
      </c>
      <c r="DJ19" s="133">
        <f>5557.78+75465.94</f>
        <v>81023.72</v>
      </c>
      <c r="DK19" s="134">
        <f>62653.65+5636.22</f>
        <v>68289.87</v>
      </c>
      <c r="DL19" s="23"/>
      <c r="DM19" s="23"/>
    </row>
    <row r="20" spans="1:117" ht="12" customHeight="1">
      <c r="A20" s="6">
        <v>15</v>
      </c>
      <c r="B20" s="7" t="s">
        <v>42</v>
      </c>
      <c r="C20" s="8">
        <v>14</v>
      </c>
      <c r="D20" s="2">
        <v>670.3</v>
      </c>
      <c r="E20" s="44">
        <v>1959</v>
      </c>
      <c r="F20" s="45">
        <v>2</v>
      </c>
      <c r="G20" s="45">
        <v>2</v>
      </c>
      <c r="H20" s="45"/>
      <c r="I20" s="45">
        <v>12</v>
      </c>
      <c r="J20" s="45"/>
      <c r="K20" s="46">
        <v>89.8</v>
      </c>
      <c r="L20" s="47">
        <f>224+43</f>
        <v>267</v>
      </c>
      <c r="M20" s="48">
        <v>0</v>
      </c>
      <c r="N20" s="48">
        <v>0</v>
      </c>
      <c r="O20" s="48">
        <v>1870</v>
      </c>
      <c r="P20" s="45"/>
      <c r="Q20" s="49" t="s">
        <v>48</v>
      </c>
      <c r="R20" s="6">
        <v>15</v>
      </c>
      <c r="S20" s="94" t="s">
        <v>42</v>
      </c>
      <c r="T20" s="14">
        <v>14</v>
      </c>
      <c r="U20" s="50" t="s">
        <v>47</v>
      </c>
      <c r="V20" s="48">
        <v>576</v>
      </c>
      <c r="W20" s="31">
        <f t="shared" si="5"/>
        <v>26473.210000000006</v>
      </c>
      <c r="X20" s="3">
        <v>109171.83</v>
      </c>
      <c r="Y20" s="3">
        <v>135645.04</v>
      </c>
      <c r="Z20" s="104">
        <f t="shared" si="6"/>
        <v>124.2491217743625</v>
      </c>
      <c r="AA20" s="3">
        <f t="shared" si="7"/>
        <v>-56474.90830702093</v>
      </c>
      <c r="AB20" s="3">
        <f t="shared" si="8"/>
        <v>192119.94830702094</v>
      </c>
      <c r="AC20" s="32">
        <f t="shared" si="0"/>
        <v>162813.51551442454</v>
      </c>
      <c r="AD20" s="6">
        <v>15</v>
      </c>
      <c r="AE20" s="94" t="s">
        <v>42</v>
      </c>
      <c r="AF20" s="14">
        <v>14</v>
      </c>
      <c r="AG20" s="2">
        <f t="shared" si="9"/>
        <v>34493.5242462699</v>
      </c>
      <c r="AH20" s="2">
        <f>0.35*1.078</f>
        <v>0.3773</v>
      </c>
      <c r="AI20" s="30">
        <f t="shared" si="10"/>
        <v>26289.310322557463</v>
      </c>
      <c r="AJ20" s="30">
        <f t="shared" si="11"/>
        <v>6222.675766682382</v>
      </c>
      <c r="AK20" s="2">
        <f t="shared" si="1"/>
        <v>32511.986089239846</v>
      </c>
      <c r="AL20" s="30">
        <f t="shared" si="12"/>
        <v>1981.5381570300533</v>
      </c>
      <c r="AM20" s="6">
        <v>15</v>
      </c>
      <c r="AN20" s="94" t="s">
        <v>42</v>
      </c>
      <c r="AO20" s="14">
        <v>14</v>
      </c>
      <c r="AP20" s="30">
        <f t="shared" si="2"/>
        <v>67758.94501719109</v>
      </c>
      <c r="AQ20" s="2">
        <f>(0.217+0.018)*1.003</f>
        <v>0.23570499999999997</v>
      </c>
      <c r="AR20" s="30">
        <f t="shared" si="13"/>
        <v>30301.658843728423</v>
      </c>
      <c r="AS20" s="30">
        <f t="shared" si="14"/>
        <v>8373.601671970704</v>
      </c>
      <c r="AT20" s="9">
        <v>19108.22</v>
      </c>
      <c r="AU20" s="22">
        <f t="shared" si="15"/>
        <v>429.5837186347672</v>
      </c>
      <c r="AV20" s="6">
        <v>15</v>
      </c>
      <c r="AW20" s="94" t="s">
        <v>42</v>
      </c>
      <c r="AX20" s="14">
        <v>14</v>
      </c>
      <c r="AY20" s="22">
        <f t="shared" si="16"/>
        <v>0</v>
      </c>
      <c r="AZ20" s="10"/>
      <c r="BA20" s="2"/>
      <c r="BB20" s="2"/>
      <c r="BC20" s="2"/>
      <c r="BD20" s="2"/>
      <c r="BE20" s="2"/>
      <c r="BF20" s="6">
        <v>15</v>
      </c>
      <c r="BG20" s="94" t="s">
        <v>42</v>
      </c>
      <c r="BH20" s="14">
        <v>14</v>
      </c>
      <c r="BI20" s="31">
        <f t="shared" si="17"/>
        <v>0.03587239172517485</v>
      </c>
      <c r="BJ20" s="31">
        <f t="shared" si="18"/>
        <v>5666.3353937558495</v>
      </c>
      <c r="BK20" s="30">
        <f t="shared" si="19"/>
        <v>1594.2513012663514</v>
      </c>
      <c r="BL20" s="106">
        <f t="shared" si="20"/>
        <v>2285.2940878349864</v>
      </c>
      <c r="BM20" s="6">
        <v>15</v>
      </c>
      <c r="BN20" s="94" t="s">
        <v>42</v>
      </c>
      <c r="BO20" s="14">
        <v>14</v>
      </c>
      <c r="BP20" s="30">
        <f t="shared" si="3"/>
        <v>1914.8688843492591</v>
      </c>
      <c r="BQ20" s="30"/>
      <c r="BR20" s="22">
        <f t="shared" si="21"/>
        <v>343.1345910896176</v>
      </c>
      <c r="BS20" s="2"/>
      <c r="BT20" s="2"/>
      <c r="BU20" s="2"/>
      <c r="BV20" s="2"/>
      <c r="BW20" s="6">
        <v>15</v>
      </c>
      <c r="BX20" s="94" t="s">
        <v>42</v>
      </c>
      <c r="BY20" s="14">
        <v>14</v>
      </c>
      <c r="BZ20" s="30">
        <f t="shared" si="22"/>
        <v>65.01954261954262</v>
      </c>
      <c r="CA20" s="2">
        <f>18.5*I20*4</f>
        <v>888</v>
      </c>
      <c r="CB20" s="2"/>
      <c r="CC20" s="2"/>
      <c r="CD20" s="2"/>
      <c r="CE20" s="30">
        <f t="shared" si="23"/>
        <v>618.7147506400988</v>
      </c>
      <c r="CF20" s="6">
        <v>15</v>
      </c>
      <c r="CG20" s="94" t="s">
        <v>42</v>
      </c>
      <c r="CH20" s="14">
        <v>14</v>
      </c>
      <c r="CI20" s="46">
        <f t="shared" si="4"/>
        <v>39556.579949681436</v>
      </c>
      <c r="CJ20" s="38">
        <f t="shared" si="24"/>
        <v>0.12914061021062945</v>
      </c>
      <c r="CK20" s="30">
        <f t="shared" si="25"/>
        <v>28162.06907218736</v>
      </c>
      <c r="CL20" s="30">
        <f t="shared" si="26"/>
        <v>7947.623905108271</v>
      </c>
      <c r="CM20" s="30">
        <f t="shared" si="27"/>
        <v>3446.886972385804</v>
      </c>
      <c r="CN20" s="6">
        <v>15</v>
      </c>
      <c r="CO20" s="94" t="s">
        <v>42</v>
      </c>
      <c r="CP20" s="14">
        <v>14</v>
      </c>
      <c r="CQ20" s="30">
        <f t="shared" si="28"/>
        <v>13455.2237045901</v>
      </c>
      <c r="CR20" s="22">
        <f t="shared" si="29"/>
        <v>1123.8062115581272</v>
      </c>
      <c r="CS20" s="22">
        <f t="shared" si="30"/>
        <v>4340.898849405673</v>
      </c>
      <c r="CT20" s="109">
        <f t="shared" si="31"/>
        <v>169.66865137895834</v>
      </c>
      <c r="CU20" s="126">
        <f>26329.4+10349.4</f>
        <v>36678.8</v>
      </c>
      <c r="CV20" s="127">
        <f>9134.15+33084.4</f>
        <v>42218.55</v>
      </c>
      <c r="CW20" s="84">
        <v>15</v>
      </c>
      <c r="CX20" s="94" t="s">
        <v>42</v>
      </c>
      <c r="CY20" s="14">
        <v>14</v>
      </c>
      <c r="CZ20" s="116">
        <v>7.3</v>
      </c>
      <c r="DA20" s="2">
        <v>32073.28</v>
      </c>
      <c r="DB20" s="2">
        <v>18574.59</v>
      </c>
      <c r="DC20" s="34" t="s">
        <v>94</v>
      </c>
      <c r="DD20" s="11">
        <v>728710</v>
      </c>
      <c r="DE20" s="118">
        <v>0</v>
      </c>
      <c r="DF20" s="84">
        <v>15</v>
      </c>
      <c r="DG20" s="94" t="s">
        <v>42</v>
      </c>
      <c r="DH20" s="14">
        <v>14</v>
      </c>
      <c r="DI20" s="132">
        <v>7.3</v>
      </c>
      <c r="DJ20" s="133">
        <f>7072.21</f>
        <v>7072.21</v>
      </c>
      <c r="DK20" s="134">
        <f>4946.86+692.37</f>
        <v>5639.23</v>
      </c>
      <c r="DL20" s="23"/>
      <c r="DM20" s="23"/>
    </row>
    <row r="21" spans="1:117" ht="12" customHeight="1">
      <c r="A21" s="6">
        <v>16</v>
      </c>
      <c r="B21" s="7" t="s">
        <v>42</v>
      </c>
      <c r="C21" s="8">
        <v>15</v>
      </c>
      <c r="D21" s="2">
        <v>4563.6</v>
      </c>
      <c r="E21" s="44">
        <v>1970</v>
      </c>
      <c r="F21" s="45">
        <v>6</v>
      </c>
      <c r="G21" s="45">
        <v>5</v>
      </c>
      <c r="H21" s="45"/>
      <c r="I21" s="45">
        <v>98</v>
      </c>
      <c r="J21" s="45"/>
      <c r="K21" s="46">
        <v>475.2</v>
      </c>
      <c r="L21" s="47">
        <v>1991.4</v>
      </c>
      <c r="M21" s="48">
        <v>0</v>
      </c>
      <c r="N21" s="48">
        <v>0</v>
      </c>
      <c r="O21" s="55">
        <v>12610.7</v>
      </c>
      <c r="P21" s="45"/>
      <c r="Q21" s="49" t="s">
        <v>46</v>
      </c>
      <c r="R21" s="6">
        <v>16</v>
      </c>
      <c r="S21" s="94" t="s">
        <v>42</v>
      </c>
      <c r="T21" s="14">
        <v>15</v>
      </c>
      <c r="U21" s="50" t="s">
        <v>44</v>
      </c>
      <c r="V21" s="48">
        <v>1250</v>
      </c>
      <c r="W21" s="31">
        <f t="shared" si="5"/>
        <v>-46429.8899999999</v>
      </c>
      <c r="X21" s="3">
        <v>1105518.23</v>
      </c>
      <c r="Y21" s="3">
        <v>1059088.34</v>
      </c>
      <c r="Z21" s="104">
        <f t="shared" si="6"/>
        <v>95.8001696634166</v>
      </c>
      <c r="AA21" s="3">
        <f t="shared" si="7"/>
        <v>-140066.06153034582</v>
      </c>
      <c r="AB21" s="3">
        <f t="shared" si="8"/>
        <v>1199154.401530346</v>
      </c>
      <c r="AC21" s="32">
        <f t="shared" si="0"/>
        <v>1016232.5436697847</v>
      </c>
      <c r="AD21" s="6">
        <v>16</v>
      </c>
      <c r="AE21" s="94" t="s">
        <v>42</v>
      </c>
      <c r="AF21" s="14">
        <v>15</v>
      </c>
      <c r="AG21" s="2">
        <f t="shared" si="9"/>
        <v>163597.85785373722</v>
      </c>
      <c r="AH21" s="2">
        <f>1.66*1.078</f>
        <v>1.78948</v>
      </c>
      <c r="AI21" s="30">
        <f t="shared" si="10"/>
        <v>124686.44324412967</v>
      </c>
      <c r="AJ21" s="30">
        <f t="shared" si="11"/>
        <v>29513.262207693584</v>
      </c>
      <c r="AK21" s="2">
        <f t="shared" si="1"/>
        <v>154199.70545182325</v>
      </c>
      <c r="AL21" s="30">
        <f t="shared" si="12"/>
        <v>9398.152401913967</v>
      </c>
      <c r="AM21" s="6">
        <v>16</v>
      </c>
      <c r="AN21" s="94" t="s">
        <v>42</v>
      </c>
      <c r="AO21" s="14">
        <v>15</v>
      </c>
      <c r="AP21" s="30">
        <f t="shared" si="2"/>
        <v>402022.23500281246</v>
      </c>
      <c r="AQ21" s="2">
        <f>(1.556+0.02)*1.003</f>
        <v>1.580728</v>
      </c>
      <c r="AR21" s="30">
        <f t="shared" si="13"/>
        <v>203214.5290966638</v>
      </c>
      <c r="AS21" s="30">
        <f t="shared" si="14"/>
        <v>56156.57972351417</v>
      </c>
      <c r="AT21" s="9">
        <v>67100.67</v>
      </c>
      <c r="AU21" s="22">
        <f t="shared" si="15"/>
        <v>2886.7357505189316</v>
      </c>
      <c r="AV21" s="6">
        <v>16</v>
      </c>
      <c r="AW21" s="94" t="s">
        <v>42</v>
      </c>
      <c r="AX21" s="14">
        <v>15</v>
      </c>
      <c r="AY21" s="22">
        <f t="shared" si="16"/>
        <v>7672.55</v>
      </c>
      <c r="AZ21" s="10"/>
      <c r="BA21" s="2"/>
      <c r="BB21" s="2">
        <v>7672.55</v>
      </c>
      <c r="BC21" s="2"/>
      <c r="BD21" s="2"/>
      <c r="BE21" s="2"/>
      <c r="BF21" s="6">
        <v>16</v>
      </c>
      <c r="BG21" s="94" t="s">
        <v>42</v>
      </c>
      <c r="BH21" s="14">
        <v>15</v>
      </c>
      <c r="BI21" s="31">
        <f t="shared" si="17"/>
        <v>0.24422981780845585</v>
      </c>
      <c r="BJ21" s="31">
        <f t="shared" si="18"/>
        <v>38578.08175883067</v>
      </c>
      <c r="BK21" s="30">
        <f t="shared" si="19"/>
        <v>10854.132833744774</v>
      </c>
      <c r="BL21" s="106">
        <f t="shared" si="20"/>
        <v>15558.955839540124</v>
      </c>
      <c r="BM21" s="6">
        <v>16</v>
      </c>
      <c r="BN21" s="94" t="s">
        <v>42</v>
      </c>
      <c r="BO21" s="14">
        <v>15</v>
      </c>
      <c r="BP21" s="30">
        <f t="shared" si="3"/>
        <v>51331.98679670359</v>
      </c>
      <c r="BQ21" s="30"/>
      <c r="BR21" s="22">
        <f t="shared" si="21"/>
        <v>2336.161449942681</v>
      </c>
      <c r="BS21" s="2"/>
      <c r="BT21" s="2"/>
      <c r="BU21" s="2"/>
      <c r="BV21" s="2"/>
      <c r="BW21" s="6">
        <v>16</v>
      </c>
      <c r="BX21" s="94" t="s">
        <v>42</v>
      </c>
      <c r="BY21" s="14">
        <v>15</v>
      </c>
      <c r="BZ21" s="30">
        <f t="shared" si="22"/>
        <v>530.9929313929314</v>
      </c>
      <c r="CA21" s="2"/>
      <c r="CB21" s="2"/>
      <c r="CC21" s="2">
        <v>44252.44</v>
      </c>
      <c r="CD21" s="2"/>
      <c r="CE21" s="30">
        <f t="shared" si="23"/>
        <v>4212.392415367977</v>
      </c>
      <c r="CF21" s="6">
        <v>16</v>
      </c>
      <c r="CG21" s="94" t="s">
        <v>42</v>
      </c>
      <c r="CH21" s="14">
        <v>15</v>
      </c>
      <c r="CI21" s="46">
        <f t="shared" si="4"/>
        <v>269312.85731518164</v>
      </c>
      <c r="CJ21" s="38">
        <f t="shared" si="24"/>
        <v>0.879227344110441</v>
      </c>
      <c r="CK21" s="30">
        <f t="shared" si="25"/>
        <v>191735.66823487135</v>
      </c>
      <c r="CL21" s="30">
        <f t="shared" si="26"/>
        <v>54109.76645286008</v>
      </c>
      <c r="CM21" s="30">
        <f t="shared" si="27"/>
        <v>23467.42262745018</v>
      </c>
      <c r="CN21" s="6">
        <v>16</v>
      </c>
      <c r="CO21" s="94" t="s">
        <v>42</v>
      </c>
      <c r="CP21" s="14">
        <v>15</v>
      </c>
      <c r="CQ21" s="30">
        <f t="shared" si="28"/>
        <v>91607.12949167148</v>
      </c>
      <c r="CR21" s="22">
        <f t="shared" si="29"/>
        <v>7651.2039789149185</v>
      </c>
      <c r="CS21" s="22">
        <f t="shared" si="30"/>
        <v>29554.11903498095</v>
      </c>
      <c r="CT21" s="109">
        <f t="shared" si="31"/>
        <v>1155.1541957825068</v>
      </c>
      <c r="CU21" s="126">
        <f>179254.47+70461.68</f>
        <v>249716.15</v>
      </c>
      <c r="CV21" s="127">
        <f>63279.54+175191.91</f>
        <v>238471.45</v>
      </c>
      <c r="CW21" s="84">
        <v>16</v>
      </c>
      <c r="CX21" s="94" t="s">
        <v>42</v>
      </c>
      <c r="CY21" s="14">
        <v>15</v>
      </c>
      <c r="CZ21" s="116">
        <v>7.3</v>
      </c>
      <c r="DA21" s="2">
        <v>204752.59</v>
      </c>
      <c r="DB21" s="2">
        <f>183936.94+614.54</f>
        <v>184551.48</v>
      </c>
      <c r="DC21" s="15"/>
      <c r="DD21" s="11"/>
      <c r="DE21" s="112"/>
      <c r="DF21" s="84">
        <v>16</v>
      </c>
      <c r="DG21" s="94" t="s">
        <v>42</v>
      </c>
      <c r="DH21" s="14">
        <v>15</v>
      </c>
      <c r="DI21" s="132">
        <v>7.3</v>
      </c>
      <c r="DJ21" s="133">
        <f>4496.96+62093.07</f>
        <v>66590.03</v>
      </c>
      <c r="DK21" s="134">
        <f>55683.95+4626.63</f>
        <v>60310.579999999994</v>
      </c>
      <c r="DL21" s="23"/>
      <c r="DM21" s="23"/>
    </row>
    <row r="22" spans="1:117" ht="12" customHeight="1">
      <c r="A22" s="6">
        <v>17</v>
      </c>
      <c r="B22" s="7" t="s">
        <v>42</v>
      </c>
      <c r="C22" s="8" t="s">
        <v>59</v>
      </c>
      <c r="D22" s="2">
        <v>3940.5</v>
      </c>
      <c r="E22" s="44">
        <v>1969</v>
      </c>
      <c r="F22" s="45">
        <v>6</v>
      </c>
      <c r="G22" s="45">
        <v>5</v>
      </c>
      <c r="H22" s="45"/>
      <c r="I22" s="45">
        <v>89</v>
      </c>
      <c r="J22" s="45"/>
      <c r="K22" s="46">
        <v>511.8</v>
      </c>
      <c r="L22" s="47"/>
      <c r="M22" s="48"/>
      <c r="N22" s="48"/>
      <c r="O22" s="48"/>
      <c r="P22" s="45"/>
      <c r="Q22" s="49" t="s">
        <v>43</v>
      </c>
      <c r="R22" s="6">
        <v>17</v>
      </c>
      <c r="S22" s="94" t="s">
        <v>42</v>
      </c>
      <c r="T22" s="14" t="s">
        <v>59</v>
      </c>
      <c r="U22" s="50" t="s">
        <v>44</v>
      </c>
      <c r="V22" s="48">
        <v>1020</v>
      </c>
      <c r="W22" s="31">
        <f t="shared" si="5"/>
        <v>-72148.46999999997</v>
      </c>
      <c r="X22" s="3">
        <v>954571.94</v>
      </c>
      <c r="Y22" s="3">
        <v>882423.47</v>
      </c>
      <c r="Z22" s="104">
        <f t="shared" si="6"/>
        <v>92.44179857203848</v>
      </c>
      <c r="AA22" s="3">
        <f t="shared" si="7"/>
        <v>-32086.25758222025</v>
      </c>
      <c r="AB22" s="3">
        <f t="shared" si="8"/>
        <v>914509.7275822202</v>
      </c>
      <c r="AC22" s="32">
        <f t="shared" si="0"/>
        <v>775008.243713746</v>
      </c>
      <c r="AD22" s="6">
        <v>17</v>
      </c>
      <c r="AE22" s="94" t="s">
        <v>42</v>
      </c>
      <c r="AF22" s="14" t="s">
        <v>59</v>
      </c>
      <c r="AG22" s="2">
        <f t="shared" si="9"/>
        <v>168525.50417463292</v>
      </c>
      <c r="AH22" s="2">
        <f>1.71*1.078</f>
        <v>1.84338</v>
      </c>
      <c r="AI22" s="30">
        <f t="shared" si="10"/>
        <v>128442.05900449502</v>
      </c>
      <c r="AJ22" s="30">
        <f t="shared" si="11"/>
        <v>30402.21588864821</v>
      </c>
      <c r="AK22" s="2">
        <f t="shared" si="1"/>
        <v>158844.27489314324</v>
      </c>
      <c r="AL22" s="30">
        <f t="shared" si="12"/>
        <v>9681.229281489688</v>
      </c>
      <c r="AM22" s="6">
        <v>17</v>
      </c>
      <c r="AN22" s="94" t="s">
        <v>42</v>
      </c>
      <c r="AO22" s="14" t="s">
        <v>59</v>
      </c>
      <c r="AP22" s="30">
        <f t="shared" si="2"/>
        <v>255582.1474809617</v>
      </c>
      <c r="AQ22" s="2">
        <f>(1.026+0.018)*1.003</f>
        <v>1.047132</v>
      </c>
      <c r="AR22" s="30">
        <f t="shared" si="13"/>
        <v>134616.73120362757</v>
      </c>
      <c r="AS22" s="30">
        <f t="shared" si="14"/>
        <v>37200.170832074116</v>
      </c>
      <c r="AT22" s="9">
        <v>8005.23</v>
      </c>
      <c r="AU22" s="22">
        <f t="shared" si="15"/>
        <v>1989.940844560703</v>
      </c>
      <c r="AV22" s="6">
        <v>17</v>
      </c>
      <c r="AW22" s="94" t="s">
        <v>42</v>
      </c>
      <c r="AX22" s="14" t="s">
        <v>59</v>
      </c>
      <c r="AY22" s="22">
        <f t="shared" si="16"/>
        <v>17652.6</v>
      </c>
      <c r="AZ22" s="10"/>
      <c r="BA22" s="2">
        <v>17652.6</v>
      </c>
      <c r="BB22" s="3"/>
      <c r="BC22" s="2"/>
      <c r="BD22" s="2"/>
      <c r="BE22" s="2"/>
      <c r="BF22" s="6">
        <v>17</v>
      </c>
      <c r="BG22" s="94" t="s">
        <v>42</v>
      </c>
      <c r="BH22" s="14" t="s">
        <v>59</v>
      </c>
      <c r="BI22" s="31">
        <f t="shared" si="17"/>
        <v>0.21088342472482693</v>
      </c>
      <c r="BJ22" s="31">
        <f t="shared" si="18"/>
        <v>33310.748350134156</v>
      </c>
      <c r="BK22" s="30">
        <f t="shared" si="19"/>
        <v>9372.142701238337</v>
      </c>
      <c r="BL22" s="106">
        <f t="shared" si="20"/>
        <v>13434.583549326815</v>
      </c>
      <c r="BM22" s="6">
        <v>17</v>
      </c>
      <c r="BN22" s="94" t="s">
        <v>42</v>
      </c>
      <c r="BO22" s="14" t="s">
        <v>59</v>
      </c>
      <c r="BP22" s="30">
        <f t="shared" si="3"/>
        <v>6136.662603961241</v>
      </c>
      <c r="BQ22" s="30"/>
      <c r="BR22" s="22">
        <f t="shared" si="21"/>
        <v>2017.1891036679667</v>
      </c>
      <c r="BS22" s="2"/>
      <c r="BT22" s="2"/>
      <c r="BU22" s="2"/>
      <c r="BV22" s="2"/>
      <c r="BW22" s="6">
        <v>17</v>
      </c>
      <c r="BX22" s="94" t="s">
        <v>42</v>
      </c>
      <c r="BY22" s="14" t="s">
        <v>59</v>
      </c>
      <c r="BZ22" s="30">
        <f t="shared" si="22"/>
        <v>482.2282744282744</v>
      </c>
      <c r="CA22" s="2"/>
      <c r="CB22" s="2"/>
      <c r="CC22" s="2"/>
      <c r="CD22" s="2"/>
      <c r="CE22" s="30">
        <f t="shared" si="23"/>
        <v>3637.245225865</v>
      </c>
      <c r="CF22" s="6">
        <v>17</v>
      </c>
      <c r="CG22" s="94" t="s">
        <v>42</v>
      </c>
      <c r="CH22" s="14" t="s">
        <v>59</v>
      </c>
      <c r="CI22" s="46">
        <f t="shared" si="4"/>
        <v>232541.70265809295</v>
      </c>
      <c r="CJ22" s="38">
        <f t="shared" si="24"/>
        <v>0.7591803290093769</v>
      </c>
      <c r="CK22" s="30">
        <f t="shared" si="25"/>
        <v>165556.66593906356</v>
      </c>
      <c r="CL22" s="30">
        <f t="shared" si="26"/>
        <v>46721.784272831785</v>
      </c>
      <c r="CM22" s="30">
        <f t="shared" si="27"/>
        <v>20263.252446197614</v>
      </c>
      <c r="CN22" s="6">
        <v>17</v>
      </c>
      <c r="CO22" s="94" t="s">
        <v>42</v>
      </c>
      <c r="CP22" s="14" t="s">
        <v>59</v>
      </c>
      <c r="CQ22" s="30">
        <f t="shared" si="28"/>
        <v>79099.37193486094</v>
      </c>
      <c r="CR22" s="22">
        <f t="shared" si="29"/>
        <v>6606.531965753842</v>
      </c>
      <c r="CS22" s="22">
        <f t="shared" si="30"/>
        <v>25518.889924038573</v>
      </c>
      <c r="CT22" s="109">
        <f t="shared" si="31"/>
        <v>997.4329714438093</v>
      </c>
      <c r="CU22" s="126">
        <f>154779.39+60841.56</f>
        <v>215620.95</v>
      </c>
      <c r="CV22" s="127">
        <f>52243.4+147187.61</f>
        <v>199431.00999999998</v>
      </c>
      <c r="CW22" s="84">
        <v>17</v>
      </c>
      <c r="CX22" s="94" t="s">
        <v>42</v>
      </c>
      <c r="CY22" s="14" t="s">
        <v>59</v>
      </c>
      <c r="CZ22" s="116">
        <v>7.3</v>
      </c>
      <c r="DA22" s="2">
        <v>167824.08</v>
      </c>
      <c r="DB22" s="2">
        <f>148240.52-119.49</f>
        <v>148121.03</v>
      </c>
      <c r="DC22" s="15"/>
      <c r="DD22" s="11"/>
      <c r="DE22" s="112"/>
      <c r="DF22" s="84">
        <v>17</v>
      </c>
      <c r="DG22" s="94" t="s">
        <v>42</v>
      </c>
      <c r="DH22" s="14" t="s">
        <v>59</v>
      </c>
      <c r="DI22" s="132">
        <v>7.3</v>
      </c>
      <c r="DJ22" s="133">
        <f>3011.71+63910.77</f>
        <v>66922.48</v>
      </c>
      <c r="DK22" s="134">
        <f>51039.98+4691.1</f>
        <v>55731.08</v>
      </c>
      <c r="DL22" s="23"/>
      <c r="DM22" s="23"/>
    </row>
    <row r="23" spans="1:117" ht="12" customHeight="1">
      <c r="A23" s="6">
        <v>18</v>
      </c>
      <c r="B23" s="7" t="s">
        <v>42</v>
      </c>
      <c r="C23" s="8" t="s">
        <v>60</v>
      </c>
      <c r="D23" s="2">
        <v>6185.3</v>
      </c>
      <c r="E23" s="44">
        <v>1973</v>
      </c>
      <c r="F23" s="45">
        <v>8</v>
      </c>
      <c r="G23" s="45">
        <v>5</v>
      </c>
      <c r="H23" s="45"/>
      <c r="I23" s="45">
        <v>129</v>
      </c>
      <c r="J23" s="45"/>
      <c r="K23" s="46">
        <v>641.1</v>
      </c>
      <c r="L23" s="47">
        <f>778+340</f>
        <v>1118</v>
      </c>
      <c r="M23" s="48">
        <v>182</v>
      </c>
      <c r="N23" s="48">
        <v>570</v>
      </c>
      <c r="O23" s="48">
        <v>3272</v>
      </c>
      <c r="P23" s="45"/>
      <c r="Q23" s="49" t="s">
        <v>46</v>
      </c>
      <c r="R23" s="6">
        <v>18</v>
      </c>
      <c r="S23" s="94" t="s">
        <v>42</v>
      </c>
      <c r="T23" s="14" t="s">
        <v>60</v>
      </c>
      <c r="U23" s="50" t="s">
        <v>44</v>
      </c>
      <c r="V23" s="48">
        <v>1821</v>
      </c>
      <c r="W23" s="31">
        <f t="shared" si="5"/>
        <v>-81931.51000000001</v>
      </c>
      <c r="X23" s="3">
        <v>1498136.73</v>
      </c>
      <c r="Y23" s="3">
        <v>1416205.22</v>
      </c>
      <c r="Z23" s="104">
        <f t="shared" si="6"/>
        <v>94.53110598256276</v>
      </c>
      <c r="AA23" s="3">
        <f t="shared" si="7"/>
        <v>-134268.75810624263</v>
      </c>
      <c r="AB23" s="3">
        <f t="shared" si="8"/>
        <v>1550473.9781062426</v>
      </c>
      <c r="AC23" s="32">
        <f t="shared" si="0"/>
        <v>1313960.998395121</v>
      </c>
      <c r="AD23" s="6">
        <v>18</v>
      </c>
      <c r="AE23" s="94" t="s">
        <v>42</v>
      </c>
      <c r="AF23" s="14" t="s">
        <v>60</v>
      </c>
      <c r="AG23" s="2">
        <f t="shared" si="9"/>
        <v>180351.8553447826</v>
      </c>
      <c r="AH23" s="2">
        <f>1.83*1.078</f>
        <v>1.9727400000000002</v>
      </c>
      <c r="AI23" s="30">
        <f t="shared" si="10"/>
        <v>137455.53682937188</v>
      </c>
      <c r="AJ23" s="30">
        <f t="shared" si="11"/>
        <v>32535.704722939314</v>
      </c>
      <c r="AK23" s="2">
        <f t="shared" si="1"/>
        <v>169991.2415523112</v>
      </c>
      <c r="AL23" s="30">
        <f t="shared" si="12"/>
        <v>10360.613792471422</v>
      </c>
      <c r="AM23" s="6">
        <v>18</v>
      </c>
      <c r="AN23" s="94" t="s">
        <v>42</v>
      </c>
      <c r="AO23" s="14" t="s">
        <v>60</v>
      </c>
      <c r="AP23" s="30">
        <f t="shared" si="2"/>
        <v>538615.1835174987</v>
      </c>
      <c r="AQ23" s="2">
        <f>(2.035+0.02)*1.003</f>
        <v>2.061165</v>
      </c>
      <c r="AR23" s="30">
        <f t="shared" si="13"/>
        <v>264978.3358462209</v>
      </c>
      <c r="AS23" s="30">
        <f t="shared" si="14"/>
        <v>73224.4741953183</v>
      </c>
      <c r="AT23" s="9">
        <v>102847.44</v>
      </c>
      <c r="AU23" s="22">
        <f t="shared" si="15"/>
        <v>3783.9783033404174</v>
      </c>
      <c r="AV23" s="6">
        <v>18</v>
      </c>
      <c r="AW23" s="94" t="s">
        <v>42</v>
      </c>
      <c r="AX23" s="14" t="s">
        <v>60</v>
      </c>
      <c r="AY23" s="22">
        <f t="shared" si="16"/>
        <v>5694.82</v>
      </c>
      <c r="AZ23" s="10"/>
      <c r="BA23" s="2"/>
      <c r="BB23" s="2"/>
      <c r="BC23" s="2"/>
      <c r="BD23" s="2">
        <v>5694.82</v>
      </c>
      <c r="BE23" s="2"/>
      <c r="BF23" s="6">
        <v>18</v>
      </c>
      <c r="BG23" s="94" t="s">
        <v>42</v>
      </c>
      <c r="BH23" s="14" t="s">
        <v>60</v>
      </c>
      <c r="BI23" s="31">
        <f t="shared" si="17"/>
        <v>0.3310182075753006</v>
      </c>
      <c r="BJ23" s="31">
        <f t="shared" si="18"/>
        <v>52287.01224973602</v>
      </c>
      <c r="BK23" s="30">
        <f t="shared" si="19"/>
        <v>14711.207778192993</v>
      </c>
      <c r="BL23" s="106">
        <f t="shared" si="20"/>
        <v>21087.91514469005</v>
      </c>
      <c r="BM23" s="6">
        <v>18</v>
      </c>
      <c r="BN23" s="94" t="s">
        <v>42</v>
      </c>
      <c r="BO23" s="14" t="s">
        <v>60</v>
      </c>
      <c r="BP23" s="30">
        <f t="shared" si="3"/>
        <v>53827.01806525887</v>
      </c>
      <c r="BQ23" s="30"/>
      <c r="BR23" s="22">
        <f t="shared" si="21"/>
        <v>3166.3290858818614</v>
      </c>
      <c r="BS23" s="2"/>
      <c r="BT23" s="2"/>
      <c r="BU23" s="2"/>
      <c r="BV23" s="2"/>
      <c r="BW23" s="6">
        <v>18</v>
      </c>
      <c r="BX23" s="94" t="s">
        <v>42</v>
      </c>
      <c r="BY23" s="14" t="s">
        <v>60</v>
      </c>
      <c r="BZ23" s="30">
        <f t="shared" si="22"/>
        <v>698.9600831600832</v>
      </c>
      <c r="CA23" s="2"/>
      <c r="CB23" s="2"/>
      <c r="CC23" s="2">
        <v>44252.44</v>
      </c>
      <c r="CD23" s="2"/>
      <c r="CE23" s="30">
        <f t="shared" si="23"/>
        <v>5709.288896216923</v>
      </c>
      <c r="CF23" s="6">
        <v>18</v>
      </c>
      <c r="CG23" s="94" t="s">
        <v>42</v>
      </c>
      <c r="CH23" s="14" t="s">
        <v>60</v>
      </c>
      <c r="CI23" s="46">
        <f t="shared" si="4"/>
        <v>365014.6411498801</v>
      </c>
      <c r="CJ23" s="38">
        <f t="shared" si="24"/>
        <v>1.1916655472710822</v>
      </c>
      <c r="CK23" s="30">
        <f t="shared" si="25"/>
        <v>259869.9773716254</v>
      </c>
      <c r="CL23" s="30">
        <f t="shared" si="26"/>
        <v>73337.96529951693</v>
      </c>
      <c r="CM23" s="30">
        <f t="shared" si="27"/>
        <v>31806.69847873775</v>
      </c>
      <c r="CN23" s="6">
        <v>18</v>
      </c>
      <c r="CO23" s="94" t="s">
        <v>42</v>
      </c>
      <c r="CP23" s="14" t="s">
        <v>60</v>
      </c>
      <c r="CQ23" s="30">
        <f t="shared" si="28"/>
        <v>124160.21957332711</v>
      </c>
      <c r="CR23" s="22">
        <f t="shared" si="29"/>
        <v>10370.100791213612</v>
      </c>
      <c r="CS23" s="22">
        <f t="shared" si="30"/>
        <v>40056.33545163197</v>
      </c>
      <c r="CT23" s="109">
        <f t="shared" si="31"/>
        <v>1565.6445015280785</v>
      </c>
      <c r="CU23" s="126">
        <f>242919.23+95482.1</f>
        <v>338401.33</v>
      </c>
      <c r="CV23" s="127">
        <f>83389.07+235948.75</f>
        <v>319337.82</v>
      </c>
      <c r="CW23" s="84">
        <v>18</v>
      </c>
      <c r="CX23" s="94" t="s">
        <v>42</v>
      </c>
      <c r="CY23" s="14" t="s">
        <v>60</v>
      </c>
      <c r="CZ23" s="116">
        <v>7.3</v>
      </c>
      <c r="DA23" s="2">
        <v>285178.88</v>
      </c>
      <c r="DB23" s="2">
        <f>253266.89+1109.34</f>
        <v>254376.23</v>
      </c>
      <c r="DC23" s="15"/>
      <c r="DD23" s="11"/>
      <c r="DE23" s="112"/>
      <c r="DF23" s="84">
        <v>18</v>
      </c>
      <c r="DG23" s="94" t="s">
        <v>42</v>
      </c>
      <c r="DH23" s="14" t="s">
        <v>60</v>
      </c>
      <c r="DI23" s="132">
        <v>7.3</v>
      </c>
      <c r="DJ23" s="133">
        <f>6011.4+71240.7</f>
        <v>77252.09999999999</v>
      </c>
      <c r="DK23" s="134">
        <f>57977.12+7198.73</f>
        <v>65175.850000000006</v>
      </c>
      <c r="DL23" s="23"/>
      <c r="DM23" s="23"/>
    </row>
    <row r="24" spans="1:117" ht="12" customHeight="1">
      <c r="A24" s="6">
        <v>19</v>
      </c>
      <c r="B24" s="7" t="s">
        <v>42</v>
      </c>
      <c r="C24" s="8">
        <v>16</v>
      </c>
      <c r="D24" s="2">
        <v>286.3</v>
      </c>
      <c r="E24" s="44">
        <v>1947</v>
      </c>
      <c r="F24" s="45">
        <v>1</v>
      </c>
      <c r="G24" s="45">
        <v>2</v>
      </c>
      <c r="H24" s="45"/>
      <c r="I24" s="45">
        <v>8</v>
      </c>
      <c r="J24" s="45"/>
      <c r="K24" s="46">
        <v>27</v>
      </c>
      <c r="L24" s="47">
        <v>115</v>
      </c>
      <c r="M24" s="48">
        <v>0</v>
      </c>
      <c r="N24" s="48">
        <v>0</v>
      </c>
      <c r="O24" s="48">
        <v>1133</v>
      </c>
      <c r="P24" s="45"/>
      <c r="Q24" s="49" t="s">
        <v>48</v>
      </c>
      <c r="R24" s="6">
        <v>19</v>
      </c>
      <c r="S24" s="94" t="s">
        <v>42</v>
      </c>
      <c r="T24" s="14">
        <v>16</v>
      </c>
      <c r="U24" s="50" t="s">
        <v>47</v>
      </c>
      <c r="V24" s="48">
        <v>233</v>
      </c>
      <c r="W24" s="31">
        <f t="shared" si="5"/>
        <v>-744.0400000000009</v>
      </c>
      <c r="X24" s="3">
        <v>46629.78</v>
      </c>
      <c r="Y24" s="3">
        <v>45885.74</v>
      </c>
      <c r="Z24" s="104">
        <f t="shared" si="6"/>
        <v>98.40436733778284</v>
      </c>
      <c r="AA24" s="3">
        <f t="shared" si="7"/>
        <v>-43839.8899894056</v>
      </c>
      <c r="AB24" s="3">
        <f t="shared" si="8"/>
        <v>89725.6299894056</v>
      </c>
      <c r="AC24" s="32">
        <f t="shared" si="0"/>
        <v>76038.66948254712</v>
      </c>
      <c r="AD24" s="6">
        <v>19</v>
      </c>
      <c r="AE24" s="94" t="s">
        <v>42</v>
      </c>
      <c r="AF24" s="14">
        <v>16</v>
      </c>
      <c r="AG24" s="2">
        <f t="shared" si="9"/>
        <v>19710.585283582797</v>
      </c>
      <c r="AH24" s="2">
        <f>0.2*1.078</f>
        <v>0.2156</v>
      </c>
      <c r="AI24" s="30">
        <f t="shared" si="10"/>
        <v>15022.463041461406</v>
      </c>
      <c r="AJ24" s="30">
        <f t="shared" si="11"/>
        <v>3555.814723818504</v>
      </c>
      <c r="AK24" s="2">
        <f t="shared" si="1"/>
        <v>18578.27776527991</v>
      </c>
      <c r="AL24" s="30">
        <f t="shared" si="12"/>
        <v>1132.3075183028877</v>
      </c>
      <c r="AM24" s="6">
        <v>19</v>
      </c>
      <c r="AN24" s="94" t="s">
        <v>42</v>
      </c>
      <c r="AO24" s="14">
        <v>16</v>
      </c>
      <c r="AP24" s="30">
        <f t="shared" si="2"/>
        <v>30232.82727985722</v>
      </c>
      <c r="AQ24" s="2">
        <f>(0.115+0.018)*1.003</f>
        <v>0.133399</v>
      </c>
      <c r="AR24" s="30">
        <f t="shared" si="13"/>
        <v>17149.449473259065</v>
      </c>
      <c r="AS24" s="30">
        <f t="shared" si="14"/>
        <v>4739.102222860016</v>
      </c>
      <c r="AT24" s="9">
        <v>4031.77</v>
      </c>
      <c r="AU24" s="22">
        <f t="shared" si="15"/>
        <v>235.24813463772176</v>
      </c>
      <c r="AV24" s="6">
        <v>19</v>
      </c>
      <c r="AW24" s="94" t="s">
        <v>42</v>
      </c>
      <c r="AX24" s="14">
        <v>16</v>
      </c>
      <c r="AY24" s="22">
        <f t="shared" si="16"/>
        <v>0</v>
      </c>
      <c r="AZ24" s="10"/>
      <c r="BA24" s="2"/>
      <c r="BB24" s="2"/>
      <c r="BC24" s="2"/>
      <c r="BD24" s="2"/>
      <c r="BE24" s="2"/>
      <c r="BF24" s="6">
        <v>19</v>
      </c>
      <c r="BG24" s="94" t="s">
        <v>42</v>
      </c>
      <c r="BH24" s="14">
        <v>16</v>
      </c>
      <c r="BI24" s="31">
        <f t="shared" si="17"/>
        <v>0.015321894302428106</v>
      </c>
      <c r="BJ24" s="31">
        <f t="shared" si="18"/>
        <v>2420.2175492052806</v>
      </c>
      <c r="BK24" s="30">
        <f t="shared" si="19"/>
        <v>680.9400977958472</v>
      </c>
      <c r="BL24" s="106">
        <f t="shared" si="20"/>
        <v>976.0998020992938</v>
      </c>
      <c r="BM24" s="6">
        <v>19</v>
      </c>
      <c r="BN24" s="94" t="s">
        <v>42</v>
      </c>
      <c r="BO24" s="14">
        <v>16</v>
      </c>
      <c r="BP24" s="30">
        <f t="shared" si="3"/>
        <v>1046.1735533579056</v>
      </c>
      <c r="BQ24" s="30"/>
      <c r="BR24" s="22">
        <f t="shared" si="21"/>
        <v>146.56039598531632</v>
      </c>
      <c r="BS24" s="2"/>
      <c r="BT24" s="2"/>
      <c r="BU24" s="2"/>
      <c r="BV24" s="2"/>
      <c r="BW24" s="6">
        <v>19</v>
      </c>
      <c r="BX24" s="94" t="s">
        <v>42</v>
      </c>
      <c r="BY24" s="14">
        <v>16</v>
      </c>
      <c r="BZ24" s="30">
        <f t="shared" si="22"/>
        <v>43.346361746361744</v>
      </c>
      <c r="CA24" s="2">
        <f>18.5*I24*4</f>
        <v>592</v>
      </c>
      <c r="CB24" s="2"/>
      <c r="CC24" s="2"/>
      <c r="CD24" s="2"/>
      <c r="CE24" s="30">
        <f t="shared" si="23"/>
        <v>264.2667956262275</v>
      </c>
      <c r="CF24" s="6">
        <v>19</v>
      </c>
      <c r="CG24" s="94" t="s">
        <v>42</v>
      </c>
      <c r="CH24" s="14">
        <v>16</v>
      </c>
      <c r="CI24" s="46">
        <f t="shared" si="4"/>
        <v>16895.492823502605</v>
      </c>
      <c r="CJ24" s="38">
        <f t="shared" si="24"/>
        <v>0.055158819488741184</v>
      </c>
      <c r="CK24" s="30">
        <f t="shared" si="25"/>
        <v>12028.644450794036</v>
      </c>
      <c r="CL24" s="30">
        <f t="shared" si="26"/>
        <v>3394.6064807287753</v>
      </c>
      <c r="CM24" s="30">
        <f t="shared" si="27"/>
        <v>1472.2418919797938</v>
      </c>
      <c r="CN24" s="6">
        <v>19</v>
      </c>
      <c r="CO24" s="94" t="s">
        <v>42</v>
      </c>
      <c r="CP24" s="14">
        <v>16</v>
      </c>
      <c r="CQ24" s="30">
        <f t="shared" si="28"/>
        <v>5747.024536213854</v>
      </c>
      <c r="CR24" s="22">
        <f t="shared" si="29"/>
        <v>480.0025635821152</v>
      </c>
      <c r="CS24" s="22">
        <f t="shared" si="30"/>
        <v>1854.0941975008864</v>
      </c>
      <c r="CT24" s="109">
        <f t="shared" si="31"/>
        <v>72.4692449497177</v>
      </c>
      <c r="CU24" s="126">
        <f>11245.96+4420.52</f>
        <v>15666.48</v>
      </c>
      <c r="CV24" s="127">
        <f>3845.23+11505.84</f>
        <v>15351.07</v>
      </c>
      <c r="CW24" s="84">
        <v>19</v>
      </c>
      <c r="CX24" s="94" t="s">
        <v>42</v>
      </c>
      <c r="CY24" s="14">
        <v>16</v>
      </c>
      <c r="CZ24" s="116">
        <v>0</v>
      </c>
      <c r="DA24" s="2">
        <v>0</v>
      </c>
      <c r="DB24" s="2">
        <v>0</v>
      </c>
      <c r="DC24" s="15"/>
      <c r="DD24" s="11"/>
      <c r="DE24" s="112"/>
      <c r="DF24" s="84">
        <v>19</v>
      </c>
      <c r="DG24" s="94" t="s">
        <v>42</v>
      </c>
      <c r="DH24" s="14">
        <v>16</v>
      </c>
      <c r="DI24" s="132">
        <v>0</v>
      </c>
      <c r="DJ24" s="133">
        <v>0</v>
      </c>
      <c r="DK24" s="134">
        <v>0</v>
      </c>
      <c r="DL24" s="23"/>
      <c r="DM24" s="23"/>
    </row>
    <row r="25" spans="1:117" ht="12" customHeight="1">
      <c r="A25" s="6">
        <v>20</v>
      </c>
      <c r="B25" s="7" t="s">
        <v>42</v>
      </c>
      <c r="C25" s="8">
        <v>17</v>
      </c>
      <c r="D25" s="2">
        <v>6176.6</v>
      </c>
      <c r="E25" s="44">
        <v>1974</v>
      </c>
      <c r="F25" s="45">
        <v>8</v>
      </c>
      <c r="G25" s="45">
        <v>5</v>
      </c>
      <c r="H25" s="45"/>
      <c r="I25" s="45">
        <v>129</v>
      </c>
      <c r="J25" s="45"/>
      <c r="K25" s="46">
        <v>628</v>
      </c>
      <c r="L25" s="47">
        <f>999+477</f>
        <v>1476</v>
      </c>
      <c r="M25" s="48">
        <v>240</v>
      </c>
      <c r="N25" s="48">
        <v>0</v>
      </c>
      <c r="O25" s="48">
        <v>4205</v>
      </c>
      <c r="P25" s="45"/>
      <c r="Q25" s="49" t="s">
        <v>46</v>
      </c>
      <c r="R25" s="6">
        <v>20</v>
      </c>
      <c r="S25" s="94" t="s">
        <v>42</v>
      </c>
      <c r="T25" s="14">
        <v>17</v>
      </c>
      <c r="U25" s="50" t="s">
        <v>44</v>
      </c>
      <c r="V25" s="48">
        <v>1704</v>
      </c>
      <c r="W25" s="31">
        <f t="shared" si="5"/>
        <v>-106295.67999999993</v>
      </c>
      <c r="X25" s="3">
        <v>1491090.65</v>
      </c>
      <c r="Y25" s="3">
        <v>1384794.97</v>
      </c>
      <c r="Z25" s="104">
        <f t="shared" si="6"/>
        <v>92.87127982460356</v>
      </c>
      <c r="AA25" s="3">
        <f t="shared" si="7"/>
        <v>-206031.48980436567</v>
      </c>
      <c r="AB25" s="3">
        <f t="shared" si="8"/>
        <v>1590826.4598043656</v>
      </c>
      <c r="AC25" s="32">
        <f t="shared" si="0"/>
        <v>1348158.0167833609</v>
      </c>
      <c r="AD25" s="6">
        <v>20</v>
      </c>
      <c r="AE25" s="94" t="s">
        <v>42</v>
      </c>
      <c r="AF25" s="14">
        <v>17</v>
      </c>
      <c r="AG25" s="2">
        <f t="shared" si="9"/>
        <v>178380.79681642432</v>
      </c>
      <c r="AH25" s="2">
        <f>1.81*1.078</f>
        <v>1.9511800000000001</v>
      </c>
      <c r="AI25" s="30">
        <f t="shared" si="10"/>
        <v>135953.29052522572</v>
      </c>
      <c r="AJ25" s="30">
        <f t="shared" si="11"/>
        <v>32180.12325055746</v>
      </c>
      <c r="AK25" s="2">
        <f t="shared" si="1"/>
        <v>168133.41377578318</v>
      </c>
      <c r="AL25" s="30">
        <f t="shared" si="12"/>
        <v>10247.383040641133</v>
      </c>
      <c r="AM25" s="6">
        <v>20</v>
      </c>
      <c r="AN25" s="94" t="s">
        <v>42</v>
      </c>
      <c r="AO25" s="14">
        <v>17</v>
      </c>
      <c r="AP25" s="30">
        <f t="shared" si="2"/>
        <v>575556.9286906422</v>
      </c>
      <c r="AQ25" s="2">
        <f>(2.021+0.02)*1.003</f>
        <v>2.0471229999999996</v>
      </c>
      <c r="AR25" s="30">
        <f t="shared" si="13"/>
        <v>263173.1306385094</v>
      </c>
      <c r="AS25" s="30">
        <f t="shared" si="14"/>
        <v>72725.62132975408</v>
      </c>
      <c r="AT25" s="9">
        <v>131861.95</v>
      </c>
      <c r="AU25" s="22">
        <f t="shared" si="15"/>
        <v>3761.0300471650803</v>
      </c>
      <c r="AV25" s="6">
        <v>20</v>
      </c>
      <c r="AW25" s="94" t="s">
        <v>42</v>
      </c>
      <c r="AX25" s="14">
        <v>17</v>
      </c>
      <c r="AY25" s="22">
        <f t="shared" si="16"/>
        <v>16072.96</v>
      </c>
      <c r="AZ25" s="10">
        <f>1392.5+1392.5</f>
        <v>2785</v>
      </c>
      <c r="BA25" s="2"/>
      <c r="BB25" s="2"/>
      <c r="BC25" s="2"/>
      <c r="BD25" s="2">
        <v>13287.96</v>
      </c>
      <c r="BE25" s="2"/>
      <c r="BF25" s="6">
        <v>20</v>
      </c>
      <c r="BG25" s="94" t="s">
        <v>42</v>
      </c>
      <c r="BH25" s="14">
        <v>17</v>
      </c>
      <c r="BI25" s="31">
        <f t="shared" si="17"/>
        <v>0.3305526103680665</v>
      </c>
      <c r="BJ25" s="31">
        <f t="shared" si="18"/>
        <v>52213.467392320425</v>
      </c>
      <c r="BK25" s="30">
        <f t="shared" si="19"/>
        <v>14690.515571239364</v>
      </c>
      <c r="BL25" s="106">
        <f t="shared" si="20"/>
        <v>21058.25371165385</v>
      </c>
      <c r="BM25" s="6">
        <v>20</v>
      </c>
      <c r="BN25" s="94" t="s">
        <v>42</v>
      </c>
      <c r="BO25" s="14">
        <v>17</v>
      </c>
      <c r="BP25" s="30">
        <f t="shared" si="3"/>
        <v>53814.53396967026</v>
      </c>
      <c r="BQ25" s="30"/>
      <c r="BR25" s="22">
        <f t="shared" si="21"/>
        <v>3161.87545177403</v>
      </c>
      <c r="BS25" s="2"/>
      <c r="BT25" s="2"/>
      <c r="BU25" s="2"/>
      <c r="BV25" s="2"/>
      <c r="BW25" s="6">
        <v>20</v>
      </c>
      <c r="BX25" s="94" t="s">
        <v>42</v>
      </c>
      <c r="BY25" s="14">
        <v>17</v>
      </c>
      <c r="BZ25" s="30">
        <f t="shared" si="22"/>
        <v>698.9600831600832</v>
      </c>
      <c r="CA25" s="2"/>
      <c r="CB25" s="2"/>
      <c r="CC25" s="2">
        <v>44252.44</v>
      </c>
      <c r="CD25" s="2"/>
      <c r="CE25" s="30">
        <f t="shared" si="23"/>
        <v>5701.25843473614</v>
      </c>
      <c r="CF25" s="6">
        <v>20</v>
      </c>
      <c r="CG25" s="94" t="s">
        <v>42</v>
      </c>
      <c r="CH25" s="14">
        <v>17</v>
      </c>
      <c r="CI25" s="46">
        <f t="shared" si="4"/>
        <v>364501.2258946776</v>
      </c>
      <c r="CJ25" s="38">
        <f t="shared" si="24"/>
        <v>1.1899893973250395</v>
      </c>
      <c r="CK25" s="30">
        <f t="shared" si="25"/>
        <v>259504.45447004697</v>
      </c>
      <c r="CL25" s="30">
        <f t="shared" si="26"/>
        <v>73234.81099849583</v>
      </c>
      <c r="CM25" s="30">
        <f t="shared" si="27"/>
        <v>31761.960426134803</v>
      </c>
      <c r="CN25" s="6">
        <v>20</v>
      </c>
      <c r="CO25" s="94" t="s">
        <v>42</v>
      </c>
      <c r="CP25" s="14">
        <v>17</v>
      </c>
      <c r="CQ25" s="30">
        <f t="shared" si="28"/>
        <v>123985.58068591858</v>
      </c>
      <c r="CR25" s="22">
        <f t="shared" si="29"/>
        <v>10355.514614814156</v>
      </c>
      <c r="CS25" s="22">
        <f t="shared" si="30"/>
        <v>39999.993783737256</v>
      </c>
      <c r="CT25" s="109">
        <f t="shared" si="31"/>
        <v>1563.4423274761662</v>
      </c>
      <c r="CU25" s="126">
        <f>241577.84+95258.14</f>
        <v>336835.98</v>
      </c>
      <c r="CV25" s="127">
        <f>82173.61+229531.4</f>
        <v>311705.01</v>
      </c>
      <c r="CW25" s="84">
        <v>20</v>
      </c>
      <c r="CX25" s="94" t="s">
        <v>42</v>
      </c>
      <c r="CY25" s="14">
        <v>17</v>
      </c>
      <c r="CZ25" s="116">
        <v>7.3</v>
      </c>
      <c r="DA25" s="2">
        <v>270072.26</v>
      </c>
      <c r="DB25" s="2">
        <f>247067.65+964.67</f>
        <v>248032.32</v>
      </c>
      <c r="DC25" s="15"/>
      <c r="DD25" s="11"/>
      <c r="DE25" s="56"/>
      <c r="DF25" s="84">
        <v>20</v>
      </c>
      <c r="DG25" s="94" t="s">
        <v>42</v>
      </c>
      <c r="DH25" s="14">
        <v>17</v>
      </c>
      <c r="DI25" s="132">
        <v>7.3</v>
      </c>
      <c r="DJ25" s="133">
        <f>5915.19+92254.48</f>
        <v>98169.67</v>
      </c>
      <c r="DK25" s="134">
        <f>66067.45+8014.43</f>
        <v>74081.88</v>
      </c>
      <c r="DL25" s="23"/>
      <c r="DM25" s="23"/>
    </row>
    <row r="26" spans="1:117" ht="12" customHeight="1">
      <c r="A26" s="6">
        <v>21</v>
      </c>
      <c r="B26" s="7" t="s">
        <v>42</v>
      </c>
      <c r="C26" s="8" t="s">
        <v>61</v>
      </c>
      <c r="D26" s="3">
        <v>11165.4</v>
      </c>
      <c r="E26" s="44">
        <v>1982</v>
      </c>
      <c r="F26" s="45">
        <v>6</v>
      </c>
      <c r="G26" s="45">
        <v>9</v>
      </c>
      <c r="H26" s="45">
        <v>6</v>
      </c>
      <c r="I26" s="45">
        <v>216</v>
      </c>
      <c r="J26" s="45"/>
      <c r="K26" s="54">
        <v>1269.3</v>
      </c>
      <c r="L26" s="47">
        <f>1226+1060</f>
        <v>2286</v>
      </c>
      <c r="M26" s="48"/>
      <c r="N26" s="48">
        <v>9688</v>
      </c>
      <c r="O26" s="48">
        <v>1423</v>
      </c>
      <c r="P26" s="45"/>
      <c r="Q26" s="49" t="s">
        <v>43</v>
      </c>
      <c r="R26" s="6">
        <v>21</v>
      </c>
      <c r="S26" s="94" t="s">
        <v>42</v>
      </c>
      <c r="T26" s="14" t="s">
        <v>61</v>
      </c>
      <c r="U26" s="50" t="s">
        <v>44</v>
      </c>
      <c r="V26" s="48">
        <v>1883</v>
      </c>
      <c r="W26" s="31">
        <f t="shared" si="5"/>
        <v>-69752.95000000019</v>
      </c>
      <c r="X26" s="3">
        <v>3429164.06</v>
      </c>
      <c r="Y26" s="3">
        <v>3359411.11</v>
      </c>
      <c r="Z26" s="104">
        <f t="shared" si="6"/>
        <v>97.96589055584583</v>
      </c>
      <c r="AA26" s="3">
        <f t="shared" si="7"/>
        <v>-287261.7995205214</v>
      </c>
      <c r="AB26" s="3">
        <f t="shared" si="8"/>
        <v>3646672.9095205213</v>
      </c>
      <c r="AC26" s="32">
        <f t="shared" si="0"/>
        <v>3090400.770780103</v>
      </c>
      <c r="AD26" s="6">
        <v>21</v>
      </c>
      <c r="AE26" s="94" t="s">
        <v>42</v>
      </c>
      <c r="AF26" s="14" t="s">
        <v>61</v>
      </c>
      <c r="AG26" s="2">
        <f t="shared" si="9"/>
        <v>618912.3779044999</v>
      </c>
      <c r="AH26" s="2">
        <f>6.28*1.078</f>
        <v>6.76984</v>
      </c>
      <c r="AI26" s="30">
        <f t="shared" si="10"/>
        <v>471705.33950188814</v>
      </c>
      <c r="AJ26" s="30">
        <f t="shared" si="11"/>
        <v>111652.58232790102</v>
      </c>
      <c r="AK26" s="2">
        <f t="shared" si="1"/>
        <v>583357.9218297892</v>
      </c>
      <c r="AL26" s="30">
        <f t="shared" si="12"/>
        <v>35554.45607471067</v>
      </c>
      <c r="AM26" s="6">
        <v>21</v>
      </c>
      <c r="AN26" s="94" t="s">
        <v>42</v>
      </c>
      <c r="AO26" s="14" t="s">
        <v>61</v>
      </c>
      <c r="AP26" s="30">
        <f t="shared" si="2"/>
        <v>709855.3140736128</v>
      </c>
      <c r="AQ26" s="2">
        <f>(2.417+0.02)*1.003</f>
        <v>2.4443109999999995</v>
      </c>
      <c r="AR26" s="30">
        <f t="shared" si="13"/>
        <v>314234.64937091985</v>
      </c>
      <c r="AS26" s="30">
        <f t="shared" si="14"/>
        <v>86836.03095571323</v>
      </c>
      <c r="AT26" s="9">
        <v>126812.28</v>
      </c>
      <c r="AU26" s="22">
        <f t="shared" si="15"/>
        <v>4811.625594042798</v>
      </c>
      <c r="AV26" s="6">
        <v>21</v>
      </c>
      <c r="AW26" s="94" t="s">
        <v>42</v>
      </c>
      <c r="AX26" s="14" t="s">
        <v>61</v>
      </c>
      <c r="AY26" s="22">
        <f t="shared" si="16"/>
        <v>18151.96</v>
      </c>
      <c r="AZ26" s="2">
        <v>1392.5</v>
      </c>
      <c r="BA26" s="2">
        <v>16759.46</v>
      </c>
      <c r="BB26" s="2"/>
      <c r="BC26" s="2"/>
      <c r="BD26" s="2"/>
      <c r="BE26" s="2"/>
      <c r="BF26" s="6">
        <v>21</v>
      </c>
      <c r="BG26" s="94" t="s">
        <v>42</v>
      </c>
      <c r="BH26" s="14" t="s">
        <v>61</v>
      </c>
      <c r="BI26" s="31">
        <f t="shared" si="17"/>
        <v>0.5975378227185846</v>
      </c>
      <c r="BJ26" s="31">
        <f t="shared" si="18"/>
        <v>94385.94838943989</v>
      </c>
      <c r="BK26" s="30">
        <f t="shared" si="19"/>
        <v>26555.950289660326</v>
      </c>
      <c r="BL26" s="106">
        <f t="shared" si="20"/>
        <v>38066.86947383673</v>
      </c>
      <c r="BM26" s="6">
        <v>21</v>
      </c>
      <c r="BN26" s="94" t="s">
        <v>42</v>
      </c>
      <c r="BO26" s="14" t="s">
        <v>61</v>
      </c>
      <c r="BP26" s="30">
        <f t="shared" si="3"/>
        <v>784745.0752674607</v>
      </c>
      <c r="BQ26" s="30">
        <v>6953</v>
      </c>
      <c r="BR26" s="22">
        <f t="shared" si="21"/>
        <v>5715.70186983741</v>
      </c>
      <c r="BS26" s="2">
        <f>28000/37*6</f>
        <v>4540.540540540541</v>
      </c>
      <c r="BT26" s="2">
        <f>151689.01/37*6</f>
        <v>24598.217837837838</v>
      </c>
      <c r="BU26" s="2">
        <f>40499.84/37*6</f>
        <v>6567.541621621621</v>
      </c>
      <c r="BV26" s="2">
        <f>4353627.16/37*6</f>
        <v>705993.5935135136</v>
      </c>
      <c r="BW26" s="6">
        <v>21</v>
      </c>
      <c r="BX26" s="94" t="s">
        <v>42</v>
      </c>
      <c r="BY26" s="14" t="s">
        <v>61</v>
      </c>
      <c r="BZ26" s="30">
        <f t="shared" si="22"/>
        <v>1170.351767151767</v>
      </c>
      <c r="CA26" s="2"/>
      <c r="CB26" s="2"/>
      <c r="CC26" s="2"/>
      <c r="CD26" s="2">
        <v>18900</v>
      </c>
      <c r="CE26" s="30">
        <f t="shared" si="23"/>
        <v>10306.128116958018</v>
      </c>
      <c r="CF26" s="6">
        <v>21</v>
      </c>
      <c r="CG26" s="94" t="s">
        <v>42</v>
      </c>
      <c r="CH26" s="14" t="s">
        <v>61</v>
      </c>
      <c r="CI26" s="46">
        <f t="shared" si="4"/>
        <v>658906.5161422843</v>
      </c>
      <c r="CJ26" s="38">
        <f t="shared" si="24"/>
        <v>2.1511361617869045</v>
      </c>
      <c r="CK26" s="30">
        <f t="shared" si="25"/>
        <v>469104.5293429819</v>
      </c>
      <c r="CL26" s="30">
        <f t="shared" si="26"/>
        <v>132386.09570355943</v>
      </c>
      <c r="CM26" s="30">
        <f t="shared" si="27"/>
        <v>57415.89109574288</v>
      </c>
      <c r="CN26" s="6">
        <v>21</v>
      </c>
      <c r="CO26" s="94" t="s">
        <v>42</v>
      </c>
      <c r="CP26" s="14" t="s">
        <v>61</v>
      </c>
      <c r="CQ26" s="30">
        <f t="shared" si="28"/>
        <v>224127.93488174</v>
      </c>
      <c r="CR26" s="22">
        <f t="shared" si="29"/>
        <v>18719.59700810251</v>
      </c>
      <c r="CS26" s="22">
        <f t="shared" si="30"/>
        <v>72307.73088640027</v>
      </c>
      <c r="CT26" s="109">
        <f t="shared" si="31"/>
        <v>2826.2246160027175</v>
      </c>
      <c r="CU26" s="126">
        <f>438518.48+172377.88</f>
        <v>610896.36</v>
      </c>
      <c r="CV26" s="127">
        <f>152452.82+439713.06</f>
        <v>592165.88</v>
      </c>
      <c r="CW26" s="84">
        <v>21</v>
      </c>
      <c r="CX26" s="94" t="s">
        <v>42</v>
      </c>
      <c r="CY26" s="14" t="s">
        <v>61</v>
      </c>
      <c r="CZ26" s="116">
        <v>7.3</v>
      </c>
      <c r="DA26" s="2">
        <v>514893.09</v>
      </c>
      <c r="DB26" s="2">
        <f>457896.8+748.06</f>
        <v>458644.86</v>
      </c>
      <c r="DC26" s="15" t="s">
        <v>86</v>
      </c>
      <c r="DD26" s="11">
        <v>5910000</v>
      </c>
      <c r="DE26" s="75">
        <v>5816930</v>
      </c>
      <c r="DF26" s="84">
        <v>21</v>
      </c>
      <c r="DG26" s="94" t="s">
        <v>42</v>
      </c>
      <c r="DH26" s="14" t="s">
        <v>61</v>
      </c>
      <c r="DI26" s="132">
        <v>7.3</v>
      </c>
      <c r="DJ26" s="133">
        <f>13136.12+138080.23</f>
        <v>151216.35</v>
      </c>
      <c r="DK26" s="134">
        <f>119570.73+14578.42</f>
        <v>134149.15</v>
      </c>
      <c r="DL26" s="23"/>
      <c r="DM26" s="23"/>
    </row>
    <row r="27" spans="1:117" ht="12" customHeight="1">
      <c r="A27" s="6">
        <v>22</v>
      </c>
      <c r="B27" s="7" t="s">
        <v>42</v>
      </c>
      <c r="C27" s="8" t="s">
        <v>62</v>
      </c>
      <c r="D27" s="2">
        <v>1906.2</v>
      </c>
      <c r="E27" s="44">
        <v>1959</v>
      </c>
      <c r="F27" s="45">
        <v>4</v>
      </c>
      <c r="G27" s="45">
        <v>3</v>
      </c>
      <c r="H27" s="45"/>
      <c r="I27" s="45">
        <v>30</v>
      </c>
      <c r="J27" s="45"/>
      <c r="K27" s="46">
        <v>202.6</v>
      </c>
      <c r="L27" s="47">
        <f>362+226</f>
        <v>588</v>
      </c>
      <c r="M27" s="48">
        <v>0</v>
      </c>
      <c r="N27" s="48">
        <v>0</v>
      </c>
      <c r="O27" s="48">
        <v>2317</v>
      </c>
      <c r="P27" s="45"/>
      <c r="Q27" s="49" t="s">
        <v>46</v>
      </c>
      <c r="R27" s="6">
        <v>22</v>
      </c>
      <c r="S27" s="94" t="s">
        <v>42</v>
      </c>
      <c r="T27" s="14" t="s">
        <v>62</v>
      </c>
      <c r="U27" s="50" t="s">
        <v>47</v>
      </c>
      <c r="V27" s="48">
        <v>1098</v>
      </c>
      <c r="W27" s="31">
        <f t="shared" si="5"/>
        <v>-55233.32000000001</v>
      </c>
      <c r="X27" s="3">
        <v>461777.67</v>
      </c>
      <c r="Y27" s="3">
        <v>406544.35</v>
      </c>
      <c r="Z27" s="104">
        <f t="shared" si="6"/>
        <v>88.0389798839775</v>
      </c>
      <c r="AA27" s="3">
        <f t="shared" si="7"/>
        <v>-62660.14479934267</v>
      </c>
      <c r="AB27" s="3">
        <f t="shared" si="8"/>
        <v>469204.49479934265</v>
      </c>
      <c r="AC27" s="32">
        <f t="shared" si="0"/>
        <v>397630.9277960531</v>
      </c>
      <c r="AD27" s="6">
        <v>22</v>
      </c>
      <c r="AE27" s="94" t="s">
        <v>42</v>
      </c>
      <c r="AF27" s="14" t="s">
        <v>62</v>
      </c>
      <c r="AG27" s="2">
        <f t="shared" si="9"/>
        <v>68987.0484925398</v>
      </c>
      <c r="AH27" s="2">
        <f>0.7*1.078</f>
        <v>0.7546</v>
      </c>
      <c r="AI27" s="30">
        <f t="shared" si="10"/>
        <v>52578.62064511493</v>
      </c>
      <c r="AJ27" s="30">
        <f t="shared" si="11"/>
        <v>12445.351533364765</v>
      </c>
      <c r="AK27" s="2">
        <f t="shared" si="1"/>
        <v>65023.97217847969</v>
      </c>
      <c r="AL27" s="30">
        <f t="shared" si="12"/>
        <v>3963.0763140601066</v>
      </c>
      <c r="AM27" s="6">
        <v>22</v>
      </c>
      <c r="AN27" s="94" t="s">
        <v>42</v>
      </c>
      <c r="AO27" s="14" t="s">
        <v>62</v>
      </c>
      <c r="AP27" s="30">
        <f t="shared" si="2"/>
        <v>156747.94761622397</v>
      </c>
      <c r="AQ27" s="2">
        <f>(0.612+0.018)*1.003</f>
        <v>0.63189</v>
      </c>
      <c r="AR27" s="30">
        <f t="shared" si="13"/>
        <v>81234.23434701662</v>
      </c>
      <c r="AS27" s="30">
        <f t="shared" si="14"/>
        <v>22448.37895038955</v>
      </c>
      <c r="AT27" s="9">
        <v>24757.85</v>
      </c>
      <c r="AU27" s="22">
        <f t="shared" si="15"/>
        <v>1160.8963010908637</v>
      </c>
      <c r="AV27" s="6">
        <v>22</v>
      </c>
      <c r="AW27" s="94" t="s">
        <v>42</v>
      </c>
      <c r="AX27" s="14" t="s">
        <v>62</v>
      </c>
      <c r="AY27" s="22">
        <f t="shared" si="16"/>
        <v>0</v>
      </c>
      <c r="AZ27" s="10"/>
      <c r="BA27" s="2"/>
      <c r="BB27" s="2"/>
      <c r="BC27" s="2"/>
      <c r="BD27" s="2"/>
      <c r="BE27" s="2"/>
      <c r="BF27" s="6">
        <v>22</v>
      </c>
      <c r="BG27" s="94" t="s">
        <v>42</v>
      </c>
      <c r="BH27" s="14" t="s">
        <v>62</v>
      </c>
      <c r="BI27" s="31">
        <f t="shared" si="17"/>
        <v>0.10201395361260375</v>
      </c>
      <c r="BJ27" s="31">
        <f t="shared" si="18"/>
        <v>16113.931862714307</v>
      </c>
      <c r="BK27" s="30">
        <f t="shared" si="19"/>
        <v>4533.733895977799</v>
      </c>
      <c r="BL27" s="106">
        <f t="shared" si="20"/>
        <v>6498.922259034837</v>
      </c>
      <c r="BM27" s="6">
        <v>22</v>
      </c>
      <c r="BN27" s="94" t="s">
        <v>42</v>
      </c>
      <c r="BO27" s="14" t="s">
        <v>62</v>
      </c>
      <c r="BP27" s="30">
        <f t="shared" si="3"/>
        <v>5117.857248619848</v>
      </c>
      <c r="BQ27" s="30"/>
      <c r="BR27" s="22">
        <f t="shared" si="21"/>
        <v>975.8065903849457</v>
      </c>
      <c r="BS27" s="2"/>
      <c r="BT27" s="2"/>
      <c r="BU27" s="2"/>
      <c r="BV27" s="2"/>
      <c r="BW27" s="6">
        <v>22</v>
      </c>
      <c r="BX27" s="94" t="s">
        <v>42</v>
      </c>
      <c r="BY27" s="14" t="s">
        <v>62</v>
      </c>
      <c r="BZ27" s="30">
        <f t="shared" si="22"/>
        <v>162.54885654885655</v>
      </c>
      <c r="CA27" s="2">
        <f>18.5*I27*4</f>
        <v>2220</v>
      </c>
      <c r="CB27" s="2"/>
      <c r="CC27" s="2"/>
      <c r="CD27" s="2"/>
      <c r="CE27" s="30">
        <f t="shared" si="23"/>
        <v>1759.5018016860456</v>
      </c>
      <c r="CF27" s="6">
        <v>22</v>
      </c>
      <c r="CG27" s="94" t="s">
        <v>42</v>
      </c>
      <c r="CH27" s="14" t="s">
        <v>62</v>
      </c>
      <c r="CI27" s="46">
        <f t="shared" si="4"/>
        <v>112491.05281229713</v>
      </c>
      <c r="CJ27" s="38">
        <f t="shared" si="24"/>
        <v>0.3672502330053735</v>
      </c>
      <c r="CK27" s="30">
        <f t="shared" si="25"/>
        <v>80087.32815963532</v>
      </c>
      <c r="CL27" s="30">
        <f t="shared" si="26"/>
        <v>22601.463058208843</v>
      </c>
      <c r="CM27" s="30">
        <f t="shared" si="27"/>
        <v>9802.26159445296</v>
      </c>
      <c r="CN27" s="6">
        <v>22</v>
      </c>
      <c r="CO27" s="94" t="s">
        <v>42</v>
      </c>
      <c r="CP27" s="14" t="s">
        <v>62</v>
      </c>
      <c r="CQ27" s="30">
        <f t="shared" si="28"/>
        <v>38263.98243426772</v>
      </c>
      <c r="CR27" s="22">
        <f t="shared" si="29"/>
        <v>3195.881546280922</v>
      </c>
      <c r="CS27" s="22">
        <f t="shared" si="30"/>
        <v>12344.653717346104</v>
      </c>
      <c r="CT27" s="109">
        <f t="shared" si="31"/>
        <v>482.5039284776524</v>
      </c>
      <c r="CU27" s="126">
        <f>74875.76+29431.84</f>
        <v>104307.59999999999</v>
      </c>
      <c r="CV27" s="127">
        <f>23529.39+67811.24</f>
        <v>91340.63</v>
      </c>
      <c r="CW27" s="84">
        <v>22</v>
      </c>
      <c r="CX27" s="94" t="s">
        <v>42</v>
      </c>
      <c r="CY27" s="14" t="s">
        <v>62</v>
      </c>
      <c r="CZ27" s="116">
        <v>7.3</v>
      </c>
      <c r="DA27" s="2">
        <v>72013.04</v>
      </c>
      <c r="DB27" s="2">
        <f>61052.73</f>
        <v>61052.73</v>
      </c>
      <c r="DC27" s="15"/>
      <c r="DD27" s="11"/>
      <c r="DE27" s="112"/>
      <c r="DF27" s="84">
        <v>22</v>
      </c>
      <c r="DG27" s="94" t="s">
        <v>42</v>
      </c>
      <c r="DH27" s="14" t="s">
        <v>62</v>
      </c>
      <c r="DI27" s="132">
        <v>7.3</v>
      </c>
      <c r="DJ27" s="133">
        <f>39309.04</f>
        <v>39309.04</v>
      </c>
      <c r="DK27" s="134">
        <f>28118.79+729.07</f>
        <v>28847.86</v>
      </c>
      <c r="DL27" s="23"/>
      <c r="DM27" s="23"/>
    </row>
    <row r="28" spans="1:117" ht="12" customHeight="1">
      <c r="A28" s="6">
        <v>23</v>
      </c>
      <c r="B28" s="7" t="s">
        <v>42</v>
      </c>
      <c r="C28" s="8">
        <v>24</v>
      </c>
      <c r="D28" s="2">
        <v>314.5</v>
      </c>
      <c r="E28" s="44">
        <v>1953</v>
      </c>
      <c r="F28" s="45">
        <v>2</v>
      </c>
      <c r="G28" s="45">
        <v>2</v>
      </c>
      <c r="H28" s="45"/>
      <c r="I28" s="45">
        <v>8</v>
      </c>
      <c r="J28" s="45"/>
      <c r="K28" s="46">
        <v>60.8</v>
      </c>
      <c r="L28" s="47">
        <f>77+136+108</f>
        <v>321</v>
      </c>
      <c r="M28" s="48">
        <v>0</v>
      </c>
      <c r="N28" s="48">
        <v>0</v>
      </c>
      <c r="O28" s="48">
        <v>695</v>
      </c>
      <c r="P28" s="45"/>
      <c r="Q28" s="49" t="s">
        <v>48</v>
      </c>
      <c r="R28" s="6">
        <v>23</v>
      </c>
      <c r="S28" s="94" t="s">
        <v>42</v>
      </c>
      <c r="T28" s="14">
        <v>24</v>
      </c>
      <c r="U28" s="50" t="s">
        <v>47</v>
      </c>
      <c r="V28" s="48">
        <v>358</v>
      </c>
      <c r="W28" s="31">
        <f t="shared" si="5"/>
        <v>-790.0899999999965</v>
      </c>
      <c r="X28" s="3">
        <v>54194.85</v>
      </c>
      <c r="Y28" s="3">
        <v>53404.76</v>
      </c>
      <c r="Z28" s="104">
        <f t="shared" si="6"/>
        <v>98.54213084822636</v>
      </c>
      <c r="AA28" s="3">
        <f t="shared" si="7"/>
        <v>-62288.71564539198</v>
      </c>
      <c r="AB28" s="3">
        <f t="shared" si="8"/>
        <v>115693.47564539198</v>
      </c>
      <c r="AC28" s="32">
        <f t="shared" si="0"/>
        <v>98045.31834355253</v>
      </c>
      <c r="AD28" s="6">
        <v>23</v>
      </c>
      <c r="AE28" s="94" t="s">
        <v>42</v>
      </c>
      <c r="AF28" s="14">
        <v>24</v>
      </c>
      <c r="AG28" s="2">
        <f t="shared" si="9"/>
        <v>24638.2316044785</v>
      </c>
      <c r="AH28" s="2">
        <f>0.25*1.078</f>
        <v>0.2695</v>
      </c>
      <c r="AI28" s="30">
        <f t="shared" si="10"/>
        <v>18778.07880182676</v>
      </c>
      <c r="AJ28" s="30">
        <f t="shared" si="11"/>
        <v>4444.768404773131</v>
      </c>
      <c r="AK28" s="2">
        <f t="shared" si="1"/>
        <v>23222.84720659989</v>
      </c>
      <c r="AL28" s="30">
        <f t="shared" si="12"/>
        <v>1415.3843978786097</v>
      </c>
      <c r="AM28" s="6">
        <v>23</v>
      </c>
      <c r="AN28" s="94" t="s">
        <v>42</v>
      </c>
      <c r="AO28" s="14">
        <v>24</v>
      </c>
      <c r="AP28" s="30">
        <f t="shared" si="2"/>
        <v>45396.077540129096</v>
      </c>
      <c r="AQ28" s="2">
        <f>(0.153+0.018)*1.003</f>
        <v>0.17151299999999997</v>
      </c>
      <c r="AR28" s="30">
        <f t="shared" si="13"/>
        <v>22049.29217990451</v>
      </c>
      <c r="AS28" s="30">
        <f t="shared" si="14"/>
        <v>6093.131429391448</v>
      </c>
      <c r="AT28" s="9">
        <v>12476.87</v>
      </c>
      <c r="AU28" s="22">
        <f t="shared" si="15"/>
        <v>297.9244556599516</v>
      </c>
      <c r="AV28" s="6">
        <v>23</v>
      </c>
      <c r="AW28" s="94" t="s">
        <v>42</v>
      </c>
      <c r="AX28" s="14">
        <v>24</v>
      </c>
      <c r="AY28" s="22">
        <f t="shared" si="16"/>
        <v>0</v>
      </c>
      <c r="AZ28" s="10"/>
      <c r="BA28" s="2"/>
      <c r="BB28" s="2"/>
      <c r="BC28" s="2"/>
      <c r="BD28" s="2"/>
      <c r="BE28" s="2"/>
      <c r="BF28" s="6">
        <v>23</v>
      </c>
      <c r="BG28" s="94" t="s">
        <v>42</v>
      </c>
      <c r="BH28" s="14">
        <v>24</v>
      </c>
      <c r="BI28" s="31">
        <f t="shared" si="17"/>
        <v>0.01683107145691107</v>
      </c>
      <c r="BJ28" s="31">
        <f t="shared" si="18"/>
        <v>2658.6043284144635</v>
      </c>
      <c r="BK28" s="30">
        <f t="shared" si="19"/>
        <v>748.0113893007125</v>
      </c>
      <c r="BL28" s="106">
        <f t="shared" si="20"/>
        <v>1072.2437574580088</v>
      </c>
      <c r="BM28" s="6">
        <v>23</v>
      </c>
      <c r="BN28" s="94" t="s">
        <v>42</v>
      </c>
      <c r="BO28" s="14">
        <v>24</v>
      </c>
      <c r="BP28" s="30">
        <f t="shared" si="3"/>
        <v>494.6392425072089</v>
      </c>
      <c r="BQ28" s="30"/>
      <c r="BR28" s="22">
        <f t="shared" si="21"/>
        <v>160.99631343828844</v>
      </c>
      <c r="BS28" s="2"/>
      <c r="BT28" s="2"/>
      <c r="BU28" s="2"/>
      <c r="BV28" s="2"/>
      <c r="BW28" s="6">
        <v>23</v>
      </c>
      <c r="BX28" s="94" t="s">
        <v>42</v>
      </c>
      <c r="BY28" s="14">
        <v>24</v>
      </c>
      <c r="BZ28" s="30">
        <f t="shared" si="22"/>
        <v>43.346361746361744</v>
      </c>
      <c r="CA28" s="2"/>
      <c r="CB28" s="2"/>
      <c r="CC28" s="2"/>
      <c r="CD28" s="2"/>
      <c r="CE28" s="30">
        <f t="shared" si="23"/>
        <v>290.2965673225587</v>
      </c>
      <c r="CF28" s="6">
        <v>23</v>
      </c>
      <c r="CG28" s="94" t="s">
        <v>42</v>
      </c>
      <c r="CH28" s="14">
        <v>24</v>
      </c>
      <c r="CI28" s="46">
        <f t="shared" si="4"/>
        <v>18559.666409331363</v>
      </c>
      <c r="CJ28" s="38">
        <f t="shared" si="24"/>
        <v>0.06059185724487985</v>
      </c>
      <c r="CK28" s="30">
        <f t="shared" si="25"/>
        <v>13213.442821427609</v>
      </c>
      <c r="CL28" s="30">
        <f t="shared" si="26"/>
        <v>3728.968697831645</v>
      </c>
      <c r="CM28" s="30">
        <f t="shared" si="27"/>
        <v>1617.2548900721101</v>
      </c>
      <c r="CN28" s="6">
        <v>23</v>
      </c>
      <c r="CO28" s="94" t="s">
        <v>42</v>
      </c>
      <c r="CP28" s="14">
        <v>24</v>
      </c>
      <c r="CQ28" s="30">
        <f t="shared" si="28"/>
        <v>6313.0954126414845</v>
      </c>
      <c r="CR28" s="22">
        <f t="shared" si="29"/>
        <v>527.2818939803536</v>
      </c>
      <c r="CS28" s="22">
        <f t="shared" si="30"/>
        <v>2036.7189141251442</v>
      </c>
      <c r="CT28" s="109">
        <f t="shared" si="31"/>
        <v>79.60732635936506</v>
      </c>
      <c r="CU28" s="126">
        <f>13310.66+4855.88</f>
        <v>18166.54</v>
      </c>
      <c r="CV28" s="127">
        <f>2979.54+14989.57</f>
        <v>17969.11</v>
      </c>
      <c r="CW28" s="84">
        <v>23</v>
      </c>
      <c r="CX28" s="94" t="s">
        <v>42</v>
      </c>
      <c r="CY28" s="14">
        <v>24</v>
      </c>
      <c r="CZ28" s="116">
        <v>0</v>
      </c>
      <c r="DA28" s="2">
        <v>0</v>
      </c>
      <c r="DB28" s="2">
        <v>0</v>
      </c>
      <c r="DC28" s="15"/>
      <c r="DD28" s="11"/>
      <c r="DE28" s="112"/>
      <c r="DF28" s="84">
        <v>23</v>
      </c>
      <c r="DG28" s="94" t="s">
        <v>42</v>
      </c>
      <c r="DH28" s="14">
        <v>24</v>
      </c>
      <c r="DI28" s="132">
        <v>0</v>
      </c>
      <c r="DJ28" s="52">
        <v>0</v>
      </c>
      <c r="DK28" s="134">
        <v>0</v>
      </c>
      <c r="DL28" s="23"/>
      <c r="DM28" s="23"/>
    </row>
    <row r="29" spans="1:117" ht="12" customHeight="1">
      <c r="A29" s="6">
        <v>24</v>
      </c>
      <c r="B29" s="7" t="s">
        <v>42</v>
      </c>
      <c r="C29" s="8">
        <v>26</v>
      </c>
      <c r="D29" s="2">
        <v>241.1</v>
      </c>
      <c r="E29" s="44">
        <v>1953</v>
      </c>
      <c r="F29" s="45">
        <v>2</v>
      </c>
      <c r="G29" s="45">
        <v>2</v>
      </c>
      <c r="H29" s="45"/>
      <c r="I29" s="45">
        <v>8</v>
      </c>
      <c r="J29" s="45"/>
      <c r="K29" s="46">
        <v>60.8</v>
      </c>
      <c r="L29" s="47">
        <f>77+159+107</f>
        <v>343</v>
      </c>
      <c r="M29" s="48">
        <v>0</v>
      </c>
      <c r="N29" s="48">
        <v>0</v>
      </c>
      <c r="O29" s="48">
        <v>674</v>
      </c>
      <c r="P29" s="45"/>
      <c r="Q29" s="49" t="s">
        <v>48</v>
      </c>
      <c r="R29" s="6">
        <v>24</v>
      </c>
      <c r="S29" s="94" t="s">
        <v>42</v>
      </c>
      <c r="T29" s="14">
        <v>26</v>
      </c>
      <c r="U29" s="50" t="s">
        <v>47</v>
      </c>
      <c r="V29" s="48">
        <v>359</v>
      </c>
      <c r="W29" s="31">
        <f t="shared" si="5"/>
        <v>1035.5</v>
      </c>
      <c r="X29" s="3">
        <v>42996.46</v>
      </c>
      <c r="Y29" s="3">
        <v>44031.96</v>
      </c>
      <c r="Z29" s="104">
        <f t="shared" si="6"/>
        <v>102.40833780269352</v>
      </c>
      <c r="AA29" s="3">
        <f t="shared" si="7"/>
        <v>-65053.390419483425</v>
      </c>
      <c r="AB29" s="3">
        <f t="shared" si="8"/>
        <v>109085.35041948342</v>
      </c>
      <c r="AC29" s="32">
        <f t="shared" si="0"/>
        <v>92445.21221990121</v>
      </c>
      <c r="AD29" s="6">
        <v>24</v>
      </c>
      <c r="AE29" s="94" t="s">
        <v>42</v>
      </c>
      <c r="AF29" s="14">
        <v>26</v>
      </c>
      <c r="AG29" s="2">
        <f t="shared" si="9"/>
        <v>24638.2316044785</v>
      </c>
      <c r="AH29" s="2">
        <f>0.25*1.078</f>
        <v>0.2695</v>
      </c>
      <c r="AI29" s="30">
        <f t="shared" si="10"/>
        <v>18778.07880182676</v>
      </c>
      <c r="AJ29" s="30">
        <f t="shared" si="11"/>
        <v>4444.768404773131</v>
      </c>
      <c r="AK29" s="2">
        <f t="shared" si="1"/>
        <v>23222.84720659989</v>
      </c>
      <c r="AL29" s="30">
        <f t="shared" si="12"/>
        <v>1415.3843978786097</v>
      </c>
      <c r="AM29" s="6">
        <v>24</v>
      </c>
      <c r="AN29" s="94" t="s">
        <v>42</v>
      </c>
      <c r="AO29" s="14">
        <v>26</v>
      </c>
      <c r="AP29" s="30">
        <f t="shared" si="2"/>
        <v>41423.24153492095</v>
      </c>
      <c r="AQ29" s="2">
        <f>(0.154+0.018)*1.003</f>
        <v>0.17251599999999997</v>
      </c>
      <c r="AR29" s="30">
        <f t="shared" si="13"/>
        <v>22178.23540902676</v>
      </c>
      <c r="AS29" s="30">
        <f t="shared" si="14"/>
        <v>6128.76377693175</v>
      </c>
      <c r="AT29" s="9">
        <v>9389.39</v>
      </c>
      <c r="AU29" s="22">
        <f t="shared" si="15"/>
        <v>293.29743810630447</v>
      </c>
      <c r="AV29" s="6">
        <v>24</v>
      </c>
      <c r="AW29" s="94" t="s">
        <v>42</v>
      </c>
      <c r="AX29" s="14">
        <v>26</v>
      </c>
      <c r="AY29" s="22">
        <f t="shared" si="16"/>
        <v>0</v>
      </c>
      <c r="AZ29" s="10"/>
      <c r="BA29" s="2"/>
      <c r="BB29" s="2"/>
      <c r="BC29" s="2"/>
      <c r="BD29" s="2"/>
      <c r="BE29" s="2"/>
      <c r="BF29" s="6">
        <v>24</v>
      </c>
      <c r="BG29" s="94" t="s">
        <v>42</v>
      </c>
      <c r="BH29" s="14">
        <v>26</v>
      </c>
      <c r="BI29" s="31">
        <f t="shared" si="17"/>
        <v>0.012902929501625623</v>
      </c>
      <c r="BJ29" s="31">
        <f t="shared" si="18"/>
        <v>2038.1224279196408</v>
      </c>
      <c r="BK29" s="30">
        <f t="shared" si="19"/>
        <v>573.4357582206733</v>
      </c>
      <c r="BL29" s="106">
        <f t="shared" si="20"/>
        <v>821.9967247158215</v>
      </c>
      <c r="BM29" s="6">
        <v>24</v>
      </c>
      <c r="BN29" s="94" t="s">
        <v>42</v>
      </c>
      <c r="BO29" s="14">
        <v>26</v>
      </c>
      <c r="BP29" s="30">
        <f t="shared" si="3"/>
        <v>5289.313654437747</v>
      </c>
      <c r="BQ29" s="30">
        <v>4900</v>
      </c>
      <c r="BR29" s="22">
        <f t="shared" si="21"/>
        <v>123.4219751032475</v>
      </c>
      <c r="BS29" s="2"/>
      <c r="BT29" s="2"/>
      <c r="BU29" s="2"/>
      <c r="BV29" s="2"/>
      <c r="BW29" s="6">
        <v>24</v>
      </c>
      <c r="BX29" s="94" t="s">
        <v>42</v>
      </c>
      <c r="BY29" s="14">
        <v>26</v>
      </c>
      <c r="BZ29" s="30">
        <f t="shared" si="22"/>
        <v>43.346361746361744</v>
      </c>
      <c r="CA29" s="2"/>
      <c r="CB29" s="2"/>
      <c r="CC29" s="2"/>
      <c r="CD29" s="2"/>
      <c r="CE29" s="30">
        <f t="shared" si="23"/>
        <v>222.54531758813638</v>
      </c>
      <c r="CF29" s="6">
        <v>24</v>
      </c>
      <c r="CG29" s="94" t="s">
        <v>42</v>
      </c>
      <c r="CH29" s="14">
        <v>26</v>
      </c>
      <c r="CI29" s="46">
        <f t="shared" si="4"/>
        <v>14228.094026358638</v>
      </c>
      <c r="CJ29" s="38">
        <f t="shared" si="24"/>
        <v>0.04645054620585225</v>
      </c>
      <c r="CK29" s="30">
        <f t="shared" si="25"/>
        <v>10129.605927650862</v>
      </c>
      <c r="CL29" s="30">
        <f t="shared" si="26"/>
        <v>2858.678388067439</v>
      </c>
      <c r="CM29" s="30">
        <f t="shared" si="27"/>
        <v>1239.809710640336</v>
      </c>
      <c r="CN29" s="6">
        <v>24</v>
      </c>
      <c r="CO29" s="94" t="s">
        <v>42</v>
      </c>
      <c r="CP29" s="14">
        <v>26</v>
      </c>
      <c r="CQ29" s="30">
        <f t="shared" si="28"/>
        <v>4839.7052591029</v>
      </c>
      <c r="CR29" s="22">
        <f t="shared" si="29"/>
        <v>404.2215091849388</v>
      </c>
      <c r="CS29" s="22">
        <f t="shared" si="30"/>
        <v>1561.3765665995938</v>
      </c>
      <c r="CT29" s="109">
        <f t="shared" si="31"/>
        <v>61.0280648179425</v>
      </c>
      <c r="CU29" s="126">
        <f>10671.08+3722.6</f>
        <v>14393.68</v>
      </c>
      <c r="CV29" s="127">
        <f>2901.93+11743.15</f>
        <v>14645.08</v>
      </c>
      <c r="CW29" s="84">
        <v>24</v>
      </c>
      <c r="CX29" s="94" t="s">
        <v>42</v>
      </c>
      <c r="CY29" s="14">
        <v>26</v>
      </c>
      <c r="CZ29" s="116">
        <v>0</v>
      </c>
      <c r="DA29" s="2">
        <v>0</v>
      </c>
      <c r="DB29" s="2">
        <v>0</v>
      </c>
      <c r="DC29" s="15"/>
      <c r="DD29" s="11"/>
      <c r="DE29" s="112"/>
      <c r="DF29" s="84">
        <v>24</v>
      </c>
      <c r="DG29" s="94" t="s">
        <v>42</v>
      </c>
      <c r="DH29" s="14">
        <v>26</v>
      </c>
      <c r="DI29" s="132">
        <v>0</v>
      </c>
      <c r="DJ29" s="52">
        <v>0</v>
      </c>
      <c r="DK29" s="134">
        <v>0</v>
      </c>
      <c r="DL29" s="23"/>
      <c r="DM29" s="23"/>
    </row>
    <row r="30" spans="1:117" ht="12" customHeight="1">
      <c r="A30" s="6">
        <v>25</v>
      </c>
      <c r="B30" s="6" t="s">
        <v>63</v>
      </c>
      <c r="C30" s="8">
        <v>15</v>
      </c>
      <c r="D30" s="52">
        <v>2035.1</v>
      </c>
      <c r="E30" s="44">
        <v>1960</v>
      </c>
      <c r="F30" s="45">
        <v>3</v>
      </c>
      <c r="G30" s="45">
        <v>4</v>
      </c>
      <c r="H30" s="45"/>
      <c r="I30" s="45">
        <v>48</v>
      </c>
      <c r="J30" s="45"/>
      <c r="K30" s="46">
        <v>172.1</v>
      </c>
      <c r="L30" s="47">
        <v>98</v>
      </c>
      <c r="M30" s="48">
        <v>1498</v>
      </c>
      <c r="N30" s="48">
        <v>141</v>
      </c>
      <c r="O30" s="48">
        <v>817</v>
      </c>
      <c r="P30" s="45"/>
      <c r="Q30" s="49" t="s">
        <v>46</v>
      </c>
      <c r="R30" s="6">
        <v>25</v>
      </c>
      <c r="S30" s="95" t="s">
        <v>63</v>
      </c>
      <c r="T30" s="14">
        <v>15</v>
      </c>
      <c r="U30" s="50" t="s">
        <v>47</v>
      </c>
      <c r="V30" s="48">
        <v>896</v>
      </c>
      <c r="W30" s="31">
        <f t="shared" si="5"/>
        <v>63355.390000000014</v>
      </c>
      <c r="X30" s="3">
        <v>444761</v>
      </c>
      <c r="Y30" s="3">
        <v>508116.39</v>
      </c>
      <c r="Z30" s="104">
        <f t="shared" si="6"/>
        <v>114.2448168791778</v>
      </c>
      <c r="AA30" s="3">
        <f t="shared" si="7"/>
        <v>-61824.18049293221</v>
      </c>
      <c r="AB30" s="3">
        <f t="shared" si="8"/>
        <v>569940.5704929322</v>
      </c>
      <c r="AC30" s="32">
        <f t="shared" si="0"/>
        <v>483000.48346858664</v>
      </c>
      <c r="AD30" s="6">
        <v>25</v>
      </c>
      <c r="AE30" s="95" t="s">
        <v>63</v>
      </c>
      <c r="AF30" s="14">
        <v>15</v>
      </c>
      <c r="AG30" s="2">
        <f t="shared" si="9"/>
        <v>91654.22156866002</v>
      </c>
      <c r="AH30" s="2">
        <f>0.93*1.078</f>
        <v>1.0025400000000002</v>
      </c>
      <c r="AI30" s="30">
        <f t="shared" si="10"/>
        <v>69854.45314279555</v>
      </c>
      <c r="AJ30" s="30">
        <f t="shared" si="11"/>
        <v>16534.538465756046</v>
      </c>
      <c r="AK30" s="2">
        <f t="shared" si="1"/>
        <v>86388.9916085516</v>
      </c>
      <c r="AL30" s="30">
        <f t="shared" si="12"/>
        <v>5265.229960108429</v>
      </c>
      <c r="AM30" s="6">
        <v>25</v>
      </c>
      <c r="AN30" s="95" t="s">
        <v>63</v>
      </c>
      <c r="AO30" s="14">
        <v>15</v>
      </c>
      <c r="AP30" s="30">
        <f t="shared" si="2"/>
        <v>206558.06086781799</v>
      </c>
      <c r="AQ30" s="2">
        <f>(0.687+0.018)*1.003</f>
        <v>0.707115</v>
      </c>
      <c r="AR30" s="30">
        <f t="shared" si="13"/>
        <v>90904.97653118528</v>
      </c>
      <c r="AS30" s="30">
        <f t="shared" si="14"/>
        <v>25120.80501591212</v>
      </c>
      <c r="AT30" s="9">
        <v>31373.93</v>
      </c>
      <c r="AU30" s="22">
        <f t="shared" si="15"/>
        <v>1290.7997724696002</v>
      </c>
      <c r="AV30" s="6">
        <v>25</v>
      </c>
      <c r="AW30" s="95" t="s">
        <v>63</v>
      </c>
      <c r="AX30" s="14">
        <v>15</v>
      </c>
      <c r="AY30" s="22">
        <f t="shared" si="16"/>
        <v>28885.269999999997</v>
      </c>
      <c r="AZ30" s="10">
        <v>19678.21</v>
      </c>
      <c r="BA30" s="2"/>
      <c r="BB30" s="2">
        <v>9207.06</v>
      </c>
      <c r="BC30" s="2"/>
      <c r="BD30" s="2"/>
      <c r="BE30" s="2"/>
      <c r="BF30" s="6">
        <v>25</v>
      </c>
      <c r="BG30" s="95" t="s">
        <v>63</v>
      </c>
      <c r="BH30" s="14">
        <v>15</v>
      </c>
      <c r="BI30" s="31">
        <f t="shared" si="17"/>
        <v>0.10891228464852055</v>
      </c>
      <c r="BJ30" s="31">
        <f t="shared" si="18"/>
        <v>17203.57923292933</v>
      </c>
      <c r="BK30" s="30">
        <f t="shared" si="19"/>
        <v>4840.311536934435</v>
      </c>
      <c r="BL30" s="106">
        <f t="shared" si="20"/>
        <v>6938.388778387261</v>
      </c>
      <c r="BM30" s="6">
        <v>25</v>
      </c>
      <c r="BN30" s="95" t="s">
        <v>63</v>
      </c>
      <c r="BO30" s="14">
        <v>15</v>
      </c>
      <c r="BP30" s="30">
        <f t="shared" si="3"/>
        <v>6732.352070752892</v>
      </c>
      <c r="BQ30" s="30"/>
      <c r="BR30" s="22">
        <f t="shared" si="21"/>
        <v>1041.7920428561551</v>
      </c>
      <c r="BS30" s="2"/>
      <c r="BT30" s="2"/>
      <c r="BU30" s="2"/>
      <c r="BV30" s="2"/>
      <c r="BW30" s="6">
        <v>25</v>
      </c>
      <c r="BX30" s="95" t="s">
        <v>63</v>
      </c>
      <c r="BY30" s="14">
        <v>15</v>
      </c>
      <c r="BZ30" s="30">
        <f t="shared" si="22"/>
        <v>260.0781704781705</v>
      </c>
      <c r="CA30" s="2">
        <f aca="true" t="shared" si="32" ref="CA30:CA36">18.5*I30*4</f>
        <v>3552</v>
      </c>
      <c r="CB30" s="2"/>
      <c r="CC30" s="2"/>
      <c r="CD30" s="2"/>
      <c r="CE30" s="30">
        <f t="shared" si="23"/>
        <v>1878.4818574185665</v>
      </c>
      <c r="CF30" s="6">
        <v>25</v>
      </c>
      <c r="CG30" s="95" t="s">
        <v>63</v>
      </c>
      <c r="CH30" s="14">
        <v>15</v>
      </c>
      <c r="CI30" s="46">
        <f t="shared" si="4"/>
        <v>120097.86044397537</v>
      </c>
      <c r="CJ30" s="38">
        <f t="shared" si="24"/>
        <v>0.392084224734674</v>
      </c>
      <c r="CK30" s="30">
        <f t="shared" si="25"/>
        <v>85502.94908072281</v>
      </c>
      <c r="CL30" s="30">
        <f t="shared" si="26"/>
        <v>24129.806667590397</v>
      </c>
      <c r="CM30" s="30">
        <f t="shared" si="27"/>
        <v>10465.104695662165</v>
      </c>
      <c r="CN30" s="6">
        <v>25</v>
      </c>
      <c r="CO30" s="95" t="s">
        <v>63</v>
      </c>
      <c r="CP30" s="14">
        <v>15</v>
      </c>
      <c r="CQ30" s="30">
        <f t="shared" si="28"/>
        <v>40851.44824886068</v>
      </c>
      <c r="CR30" s="22">
        <f t="shared" si="29"/>
        <v>3411.9916770728696</v>
      </c>
      <c r="CS30" s="22">
        <f t="shared" si="30"/>
        <v>13179.417049717267</v>
      </c>
      <c r="CT30" s="109">
        <f t="shared" si="31"/>
        <v>515.1315417295511</v>
      </c>
      <c r="CU30" s="126">
        <f>73035.45+31253.36</f>
        <v>104288.81</v>
      </c>
      <c r="CV30" s="127">
        <f>28745.16+92704.11</f>
        <v>121449.27</v>
      </c>
      <c r="CW30" s="84">
        <v>25</v>
      </c>
      <c r="CX30" s="95" t="s">
        <v>63</v>
      </c>
      <c r="CY30" s="14">
        <v>15</v>
      </c>
      <c r="CZ30" s="116">
        <v>7.3</v>
      </c>
      <c r="DA30" s="2">
        <v>90895.22</v>
      </c>
      <c r="DB30" s="2">
        <f>83231.6+58.02</f>
        <v>83289.62000000001</v>
      </c>
      <c r="DC30" s="15"/>
      <c r="DD30" s="11"/>
      <c r="DE30" s="112"/>
      <c r="DF30" s="84">
        <v>25</v>
      </c>
      <c r="DG30" s="95" t="s">
        <v>63</v>
      </c>
      <c r="DH30" s="14">
        <v>15</v>
      </c>
      <c r="DI30" s="132">
        <v>7.3</v>
      </c>
      <c r="DJ30" s="52">
        <f>421.02+27265.5</f>
        <v>27686.52</v>
      </c>
      <c r="DK30" s="134">
        <f>25645.71+2328.8</f>
        <v>27974.51</v>
      </c>
      <c r="DL30" s="23"/>
      <c r="DM30" s="23"/>
    </row>
    <row r="31" spans="1:117" ht="12" customHeight="1">
      <c r="A31" s="6">
        <v>26</v>
      </c>
      <c r="B31" s="6" t="s">
        <v>63</v>
      </c>
      <c r="C31" s="8" t="s">
        <v>59</v>
      </c>
      <c r="D31" s="2">
        <v>3187.3</v>
      </c>
      <c r="E31" s="44">
        <v>1962</v>
      </c>
      <c r="F31" s="45">
        <v>4</v>
      </c>
      <c r="G31" s="45">
        <v>5</v>
      </c>
      <c r="H31" s="45"/>
      <c r="I31" s="45">
        <v>80</v>
      </c>
      <c r="J31" s="45"/>
      <c r="K31" s="46">
        <v>293.3</v>
      </c>
      <c r="L31" s="47">
        <f>297+228</f>
        <v>525</v>
      </c>
      <c r="M31" s="48">
        <v>439</v>
      </c>
      <c r="N31" s="48">
        <v>0</v>
      </c>
      <c r="O31" s="48">
        <v>1360</v>
      </c>
      <c r="P31" s="45"/>
      <c r="Q31" s="49" t="s">
        <v>46</v>
      </c>
      <c r="R31" s="6">
        <v>26</v>
      </c>
      <c r="S31" s="95" t="s">
        <v>63</v>
      </c>
      <c r="T31" s="14" t="s">
        <v>59</v>
      </c>
      <c r="U31" s="50" t="s">
        <v>47</v>
      </c>
      <c r="V31" s="48">
        <v>1092</v>
      </c>
      <c r="W31" s="31">
        <f t="shared" si="5"/>
        <v>-42521.79000000004</v>
      </c>
      <c r="X31" s="3">
        <v>772125.27</v>
      </c>
      <c r="Y31" s="3">
        <v>729603.48</v>
      </c>
      <c r="Z31" s="104">
        <f t="shared" si="6"/>
        <v>94.49288973536638</v>
      </c>
      <c r="AA31" s="3">
        <f t="shared" si="7"/>
        <v>-4910.866909169592</v>
      </c>
      <c r="AB31" s="3">
        <f t="shared" si="8"/>
        <v>734514.3469091696</v>
      </c>
      <c r="AC31" s="32">
        <f t="shared" si="0"/>
        <v>622469.7855162454</v>
      </c>
      <c r="AD31" s="6">
        <v>26</v>
      </c>
      <c r="AE31" s="95" t="s">
        <v>63</v>
      </c>
      <c r="AF31" s="14" t="s">
        <v>59</v>
      </c>
      <c r="AG31" s="2">
        <f t="shared" si="9"/>
        <v>81798.92892686861</v>
      </c>
      <c r="AH31" s="2">
        <f>0.83*1.078</f>
        <v>0.89474</v>
      </c>
      <c r="AI31" s="30">
        <f t="shared" si="10"/>
        <v>62343.22162206483</v>
      </c>
      <c r="AJ31" s="30">
        <f t="shared" si="11"/>
        <v>14756.631103846792</v>
      </c>
      <c r="AK31" s="2">
        <f t="shared" si="1"/>
        <v>77099.85272591162</v>
      </c>
      <c r="AL31" s="30">
        <f t="shared" si="12"/>
        <v>4699.0762009569835</v>
      </c>
      <c r="AM31" s="6">
        <v>26</v>
      </c>
      <c r="AN31" s="95" t="s">
        <v>63</v>
      </c>
      <c r="AO31" s="14" t="s">
        <v>59</v>
      </c>
      <c r="AP31" s="30">
        <f t="shared" si="2"/>
        <v>250879.1361801709</v>
      </c>
      <c r="AQ31" s="2">
        <f>(1.076+0.018)*1.003</f>
        <v>1.0972819999999999</v>
      </c>
      <c r="AR31" s="30">
        <f t="shared" si="13"/>
        <v>141063.89265973997</v>
      </c>
      <c r="AS31" s="30">
        <f t="shared" si="14"/>
        <v>38981.78820908915</v>
      </c>
      <c r="AT31" s="9">
        <v>14229.89</v>
      </c>
      <c r="AU31" s="22">
        <f t="shared" si="15"/>
        <v>2005.5075205007645</v>
      </c>
      <c r="AV31" s="6">
        <v>26</v>
      </c>
      <c r="AW31" s="95" t="s">
        <v>63</v>
      </c>
      <c r="AX31" s="14" t="s">
        <v>59</v>
      </c>
      <c r="AY31" s="22">
        <f t="shared" si="16"/>
        <v>9207.06</v>
      </c>
      <c r="AZ31" s="10"/>
      <c r="BA31" s="2"/>
      <c r="BB31" s="2">
        <v>9207.06</v>
      </c>
      <c r="BC31" s="2"/>
      <c r="BD31" s="2"/>
      <c r="BE31" s="2"/>
      <c r="BF31" s="6">
        <v>26</v>
      </c>
      <c r="BG31" s="95" t="s">
        <v>63</v>
      </c>
      <c r="BH31" s="14" t="s">
        <v>59</v>
      </c>
      <c r="BI31" s="31">
        <f t="shared" si="17"/>
        <v>0.17057448030083516</v>
      </c>
      <c r="BJ31" s="31">
        <f t="shared" si="18"/>
        <v>26943.623452958407</v>
      </c>
      <c r="BK31" s="30">
        <f t="shared" si="19"/>
        <v>7580.720830264422</v>
      </c>
      <c r="BL31" s="106">
        <f t="shared" si="20"/>
        <v>10866.653507618159</v>
      </c>
      <c r="BM31" s="6">
        <v>26</v>
      </c>
      <c r="BN31" s="95" t="s">
        <v>63</v>
      </c>
      <c r="BO31" s="14" t="s">
        <v>59</v>
      </c>
      <c r="BP31" s="30">
        <f t="shared" si="3"/>
        <v>10927.090958796045</v>
      </c>
      <c r="BQ31" s="30"/>
      <c r="BR31" s="22">
        <f t="shared" si="21"/>
        <v>1631.6170105623426</v>
      </c>
      <c r="BS31" s="2"/>
      <c r="BT31" s="2"/>
      <c r="BU31" s="2"/>
      <c r="BV31" s="2"/>
      <c r="BW31" s="6">
        <v>26</v>
      </c>
      <c r="BX31" s="95" t="s">
        <v>63</v>
      </c>
      <c r="BY31" s="14" t="s">
        <v>59</v>
      </c>
      <c r="BZ31" s="30">
        <f t="shared" si="22"/>
        <v>433.4636174636174</v>
      </c>
      <c r="CA31" s="2">
        <f t="shared" si="32"/>
        <v>5920</v>
      </c>
      <c r="CB31" s="2"/>
      <c r="CC31" s="2"/>
      <c r="CD31" s="2"/>
      <c r="CE31" s="30">
        <f t="shared" si="23"/>
        <v>2942.010330770084</v>
      </c>
      <c r="CF31" s="6">
        <v>26</v>
      </c>
      <c r="CG31" s="95" t="s">
        <v>63</v>
      </c>
      <c r="CH31" s="14" t="s">
        <v>59</v>
      </c>
      <c r="CI31" s="46">
        <f t="shared" si="4"/>
        <v>188092.92447205677</v>
      </c>
      <c r="CJ31" s="38">
        <f t="shared" si="24"/>
        <v>0.6140681290830066</v>
      </c>
      <c r="CK31" s="30">
        <f t="shared" si="25"/>
        <v>133911.62577022644</v>
      </c>
      <c r="CL31" s="30">
        <f t="shared" si="26"/>
        <v>37791.23030397075</v>
      </c>
      <c r="CM31" s="30">
        <f t="shared" si="27"/>
        <v>16390.068397859577</v>
      </c>
      <c r="CN31" s="6">
        <v>26</v>
      </c>
      <c r="CO31" s="95" t="s">
        <v>63</v>
      </c>
      <c r="CP31" s="14" t="s">
        <v>59</v>
      </c>
      <c r="CQ31" s="30">
        <f t="shared" si="28"/>
        <v>63980.060441056296</v>
      </c>
      <c r="CR31" s="22">
        <f t="shared" si="29"/>
        <v>5343.737935400894</v>
      </c>
      <c r="CS31" s="22">
        <f t="shared" si="30"/>
        <v>20641.12621618783</v>
      </c>
      <c r="CT31" s="109">
        <f t="shared" si="31"/>
        <v>806.7803857081217</v>
      </c>
      <c r="CU31" s="126">
        <f>125197.08+49211.88</f>
        <v>174408.96</v>
      </c>
      <c r="CV31" s="127">
        <f>41504.4+122623.96</f>
        <v>164128.36000000002</v>
      </c>
      <c r="CW31" s="84">
        <v>26</v>
      </c>
      <c r="CX31" s="95" t="s">
        <v>63</v>
      </c>
      <c r="CY31" s="14" t="s">
        <v>59</v>
      </c>
      <c r="CZ31" s="116">
        <v>7.3</v>
      </c>
      <c r="DA31" s="2">
        <v>133337.42</v>
      </c>
      <c r="DB31" s="2">
        <f>114636.22+126.95</f>
        <v>114763.17</v>
      </c>
      <c r="DC31" s="15"/>
      <c r="DD31" s="11"/>
      <c r="DE31" s="112"/>
      <c r="DF31" s="84">
        <v>26</v>
      </c>
      <c r="DG31" s="95" t="s">
        <v>63</v>
      </c>
      <c r="DH31" s="14" t="s">
        <v>59</v>
      </c>
      <c r="DI31" s="132">
        <v>7.3</v>
      </c>
      <c r="DJ31" s="52">
        <f>3856.32+52800.9</f>
        <v>56657.22</v>
      </c>
      <c r="DK31" s="134">
        <f>42755.03+4219.4</f>
        <v>46974.43</v>
      </c>
      <c r="DL31" s="23"/>
      <c r="DM31" s="23"/>
    </row>
    <row r="32" spans="1:117" ht="12" customHeight="1">
      <c r="A32" s="6">
        <v>27</v>
      </c>
      <c r="B32" s="6" t="s">
        <v>63</v>
      </c>
      <c r="C32" s="8">
        <v>17</v>
      </c>
      <c r="D32" s="52">
        <v>1991.3</v>
      </c>
      <c r="E32" s="44">
        <v>1961</v>
      </c>
      <c r="F32" s="45">
        <v>3</v>
      </c>
      <c r="G32" s="45">
        <v>4</v>
      </c>
      <c r="H32" s="45"/>
      <c r="I32" s="45">
        <v>40</v>
      </c>
      <c r="J32" s="45"/>
      <c r="K32" s="46">
        <v>175.2</v>
      </c>
      <c r="L32" s="47">
        <f>225+544</f>
        <v>769</v>
      </c>
      <c r="M32" s="48">
        <v>0</v>
      </c>
      <c r="N32" s="48">
        <v>0</v>
      </c>
      <c r="O32" s="48">
        <v>1374</v>
      </c>
      <c r="P32" s="45"/>
      <c r="Q32" s="49" t="s">
        <v>46</v>
      </c>
      <c r="R32" s="6">
        <v>27</v>
      </c>
      <c r="S32" s="95" t="s">
        <v>63</v>
      </c>
      <c r="T32" s="14">
        <v>17</v>
      </c>
      <c r="U32" s="50" t="s">
        <v>47</v>
      </c>
      <c r="V32" s="48">
        <v>885</v>
      </c>
      <c r="W32" s="31">
        <f t="shared" si="5"/>
        <v>-45846.149999999965</v>
      </c>
      <c r="X32" s="3">
        <v>484076.41</v>
      </c>
      <c r="Y32" s="3">
        <v>438230.26</v>
      </c>
      <c r="Z32" s="104">
        <f t="shared" si="6"/>
        <v>90.52915013974757</v>
      </c>
      <c r="AA32" s="3">
        <f t="shared" si="7"/>
        <v>-63950.605435609</v>
      </c>
      <c r="AB32" s="3">
        <f t="shared" si="8"/>
        <v>502180.865435609</v>
      </c>
      <c r="AC32" s="32">
        <f t="shared" si="0"/>
        <v>425577.00460644835</v>
      </c>
      <c r="AD32" s="6">
        <v>27</v>
      </c>
      <c r="AE32" s="95" t="s">
        <v>63</v>
      </c>
      <c r="AF32" s="14">
        <v>17</v>
      </c>
      <c r="AG32" s="2">
        <f t="shared" si="9"/>
        <v>59131.7558507484</v>
      </c>
      <c r="AH32" s="2">
        <f>0.6*1.078</f>
        <v>0.6468</v>
      </c>
      <c r="AI32" s="30">
        <f t="shared" si="10"/>
        <v>45067.38912438422</v>
      </c>
      <c r="AJ32" s="30">
        <f t="shared" si="11"/>
        <v>10667.444171455514</v>
      </c>
      <c r="AK32" s="2">
        <f t="shared" si="1"/>
        <v>55734.83329583974</v>
      </c>
      <c r="AL32" s="30">
        <f t="shared" si="12"/>
        <v>3396.9225549086627</v>
      </c>
      <c r="AM32" s="6">
        <v>27</v>
      </c>
      <c r="AN32" s="95" t="s">
        <v>63</v>
      </c>
      <c r="AO32" s="14">
        <v>17</v>
      </c>
      <c r="AP32" s="30">
        <f t="shared" si="2"/>
        <v>186187.41358380922</v>
      </c>
      <c r="AQ32" s="2">
        <f>(0.652+0.018)*1.003</f>
        <v>0.67201</v>
      </c>
      <c r="AR32" s="30">
        <f t="shared" si="13"/>
        <v>86391.96351190658</v>
      </c>
      <c r="AS32" s="30">
        <f t="shared" si="14"/>
        <v>23873.672852001586</v>
      </c>
      <c r="AT32" s="9">
        <v>38659.16</v>
      </c>
      <c r="AU32" s="22">
        <f t="shared" si="15"/>
        <v>1231.5625206566795</v>
      </c>
      <c r="AV32" s="6">
        <v>27</v>
      </c>
      <c r="AW32" s="95" t="s">
        <v>63</v>
      </c>
      <c r="AX32" s="14">
        <v>17</v>
      </c>
      <c r="AY32" s="22">
        <f t="shared" si="16"/>
        <v>7672.54</v>
      </c>
      <c r="AZ32" s="10"/>
      <c r="BA32" s="30"/>
      <c r="BB32" s="2">
        <v>7672.54</v>
      </c>
      <c r="BC32" s="2"/>
      <c r="BD32" s="2"/>
      <c r="BE32" s="2"/>
      <c r="BF32" s="6">
        <v>27</v>
      </c>
      <c r="BG32" s="95" t="s">
        <v>63</v>
      </c>
      <c r="BH32" s="14">
        <v>17</v>
      </c>
      <c r="BI32" s="31">
        <f t="shared" si="17"/>
        <v>0.1065682435362385</v>
      </c>
      <c r="BJ32" s="31">
        <f t="shared" si="18"/>
        <v>16833.31891628528</v>
      </c>
      <c r="BK32" s="30">
        <f t="shared" si="19"/>
        <v>4736.13697778858</v>
      </c>
      <c r="BL32" s="106">
        <f t="shared" si="20"/>
        <v>6789.058805170533</v>
      </c>
      <c r="BM32" s="6">
        <v>27</v>
      </c>
      <c r="BN32" s="95" t="s">
        <v>63</v>
      </c>
      <c r="BO32" s="14">
        <v>17</v>
      </c>
      <c r="BP32" s="30">
        <f t="shared" si="3"/>
        <v>6034.1547450086755</v>
      </c>
      <c r="BQ32" s="30"/>
      <c r="BR32" s="22">
        <f t="shared" si="21"/>
        <v>1019.3702987270707</v>
      </c>
      <c r="BS32" s="2"/>
      <c r="BT32" s="2"/>
      <c r="BU32" s="2"/>
      <c r="BV32" s="2"/>
      <c r="BW32" s="6">
        <v>27</v>
      </c>
      <c r="BX32" s="95" t="s">
        <v>63</v>
      </c>
      <c r="BY32" s="14">
        <v>17</v>
      </c>
      <c r="BZ32" s="30">
        <f t="shared" si="22"/>
        <v>216.7318087318087</v>
      </c>
      <c r="CA32" s="2">
        <f t="shared" si="32"/>
        <v>2960</v>
      </c>
      <c r="CB32" s="2"/>
      <c r="CC32" s="2"/>
      <c r="CD32" s="2"/>
      <c r="CE32" s="30">
        <f t="shared" si="23"/>
        <v>1838.0526375497968</v>
      </c>
      <c r="CF32" s="6">
        <v>27</v>
      </c>
      <c r="CG32" s="95" t="s">
        <v>63</v>
      </c>
      <c r="CH32" s="14">
        <v>17</v>
      </c>
      <c r="CI32" s="46">
        <f t="shared" si="4"/>
        <v>117513.08019364561</v>
      </c>
      <c r="CJ32" s="38">
        <f t="shared" si="24"/>
        <v>0.38364567673045863</v>
      </c>
      <c r="CK32" s="30">
        <f t="shared" si="25"/>
        <v>83662.73033484514</v>
      </c>
      <c r="CL32" s="30">
        <f t="shared" si="26"/>
        <v>23610.47811762211</v>
      </c>
      <c r="CM32" s="30">
        <f t="shared" si="27"/>
        <v>10239.871741178355</v>
      </c>
      <c r="CN32" s="6">
        <v>27</v>
      </c>
      <c r="CO32" s="95" t="s">
        <v>63</v>
      </c>
      <c r="CP32" s="14">
        <v>17</v>
      </c>
      <c r="CQ32" s="30">
        <f t="shared" si="28"/>
        <v>39972.231781217764</v>
      </c>
      <c r="CR32" s="22">
        <f t="shared" si="29"/>
        <v>3338.557823475606</v>
      </c>
      <c r="CS32" s="22">
        <f t="shared" si="30"/>
        <v>12895.765894109378</v>
      </c>
      <c r="CT32" s="109">
        <f t="shared" si="31"/>
        <v>504.04473443371586</v>
      </c>
      <c r="CU32" s="126">
        <f>78540.9+30797.98</f>
        <v>109338.87999999999</v>
      </c>
      <c r="CV32" s="127">
        <f>25546.15+72966.84</f>
        <v>98512.98999999999</v>
      </c>
      <c r="CW32" s="84">
        <v>27</v>
      </c>
      <c r="CX32" s="95" t="s">
        <v>63</v>
      </c>
      <c r="CY32" s="14">
        <v>17</v>
      </c>
      <c r="CZ32" s="116">
        <v>7.3</v>
      </c>
      <c r="DA32" s="2">
        <v>101557.6</v>
      </c>
      <c r="DB32" s="2">
        <f>83977.54-21.67</f>
        <v>83955.87</v>
      </c>
      <c r="DC32" s="15"/>
      <c r="DD32" s="11"/>
      <c r="DE32" s="112"/>
      <c r="DF32" s="84">
        <v>27</v>
      </c>
      <c r="DG32" s="95" t="s">
        <v>63</v>
      </c>
      <c r="DH32" s="14">
        <v>17</v>
      </c>
      <c r="DI32" s="132">
        <v>7.3</v>
      </c>
      <c r="DJ32" s="52">
        <f>1281.01+14937.26</f>
        <v>16218.27</v>
      </c>
      <c r="DK32" s="134">
        <f>12810.45+1425.31</f>
        <v>14235.76</v>
      </c>
      <c r="DL32" s="23"/>
      <c r="DM32" s="23"/>
    </row>
    <row r="33" spans="1:117" ht="12" customHeight="1">
      <c r="A33" s="6">
        <v>28</v>
      </c>
      <c r="B33" s="6" t="s">
        <v>63</v>
      </c>
      <c r="C33" s="8" t="s">
        <v>64</v>
      </c>
      <c r="D33" s="2">
        <v>3204.2</v>
      </c>
      <c r="E33" s="44">
        <v>1968</v>
      </c>
      <c r="F33" s="45">
        <v>4</v>
      </c>
      <c r="G33" s="45">
        <v>5</v>
      </c>
      <c r="H33" s="45"/>
      <c r="I33" s="45">
        <v>80</v>
      </c>
      <c r="J33" s="45"/>
      <c r="K33" s="46">
        <v>310.3</v>
      </c>
      <c r="L33" s="47">
        <v>853</v>
      </c>
      <c r="M33" s="48">
        <v>0</v>
      </c>
      <c r="N33" s="48">
        <v>0</v>
      </c>
      <c r="O33" s="48">
        <v>3255</v>
      </c>
      <c r="P33" s="45"/>
      <c r="Q33" s="49" t="s">
        <v>46</v>
      </c>
      <c r="R33" s="6">
        <v>28</v>
      </c>
      <c r="S33" s="95" t="s">
        <v>63</v>
      </c>
      <c r="T33" s="14" t="s">
        <v>64</v>
      </c>
      <c r="U33" s="50" t="s">
        <v>47</v>
      </c>
      <c r="V33" s="48">
        <v>1092</v>
      </c>
      <c r="W33" s="31">
        <f t="shared" si="5"/>
        <v>-33709.26000000001</v>
      </c>
      <c r="X33" s="3">
        <v>776123.22</v>
      </c>
      <c r="Y33" s="3">
        <v>742413.96</v>
      </c>
      <c r="Z33" s="104">
        <f t="shared" si="6"/>
        <v>95.65671286062025</v>
      </c>
      <c r="AA33" s="3">
        <f t="shared" si="7"/>
        <v>-105006.42138280033</v>
      </c>
      <c r="AB33" s="3">
        <f t="shared" si="8"/>
        <v>847420.3813828003</v>
      </c>
      <c r="AC33" s="32">
        <f t="shared" si="0"/>
        <v>718152.8655786443</v>
      </c>
      <c r="AD33" s="6">
        <v>28</v>
      </c>
      <c r="AE33" s="95" t="s">
        <v>63</v>
      </c>
      <c r="AF33" s="14" t="s">
        <v>64</v>
      </c>
      <c r="AG33" s="2">
        <f t="shared" si="9"/>
        <v>101509.51421045142</v>
      </c>
      <c r="AH33" s="2">
        <f>1.03*1.078</f>
        <v>1.11034</v>
      </c>
      <c r="AI33" s="30">
        <f t="shared" si="10"/>
        <v>77365.68466352625</v>
      </c>
      <c r="AJ33" s="30">
        <f t="shared" si="11"/>
        <v>18312.4458276653</v>
      </c>
      <c r="AK33" s="2">
        <f t="shared" si="1"/>
        <v>95678.13049119155</v>
      </c>
      <c r="AL33" s="30">
        <f t="shared" si="12"/>
        <v>5831.383719259871</v>
      </c>
      <c r="AM33" s="6">
        <v>28</v>
      </c>
      <c r="AN33" s="95" t="s">
        <v>63</v>
      </c>
      <c r="AO33" s="14" t="s">
        <v>64</v>
      </c>
      <c r="AP33" s="30">
        <f t="shared" si="2"/>
        <v>281096.31813880045</v>
      </c>
      <c r="AQ33" s="2">
        <f>(1.081+0.02)*1.003</f>
        <v>1.1043029999999998</v>
      </c>
      <c r="AR33" s="30">
        <f t="shared" si="13"/>
        <v>141966.49526359572</v>
      </c>
      <c r="AS33" s="30">
        <f t="shared" si="14"/>
        <v>39231.21464187126</v>
      </c>
      <c r="AT33" s="9">
        <v>28853.26</v>
      </c>
      <c r="AU33" s="22">
        <f t="shared" si="15"/>
        <v>2018.0440509807672</v>
      </c>
      <c r="AV33" s="6">
        <v>28</v>
      </c>
      <c r="AW33" s="95" t="s">
        <v>63</v>
      </c>
      <c r="AX33" s="14" t="s">
        <v>64</v>
      </c>
      <c r="AY33" s="22">
        <f t="shared" si="16"/>
        <v>23395.629999999997</v>
      </c>
      <c r="AZ33" s="10">
        <f>14409.97+1392.54</f>
        <v>15802.509999999998</v>
      </c>
      <c r="BA33" s="2"/>
      <c r="BB33" s="2"/>
      <c r="BC33" s="2"/>
      <c r="BD33" s="2">
        <v>7593.12</v>
      </c>
      <c r="BE33" s="2"/>
      <c r="BF33" s="6">
        <v>28</v>
      </c>
      <c r="BG33" s="95" t="s">
        <v>63</v>
      </c>
      <c r="BH33" s="14" t="s">
        <v>64</v>
      </c>
      <c r="BI33" s="31">
        <f t="shared" si="17"/>
        <v>0.17147891625511746</v>
      </c>
      <c r="BJ33" s="31">
        <f t="shared" si="18"/>
        <v>27086.486451846176</v>
      </c>
      <c r="BK33" s="30">
        <f t="shared" si="19"/>
        <v>7620.916036875493</v>
      </c>
      <c r="BL33" s="106">
        <f t="shared" si="20"/>
        <v>10924.271693631006</v>
      </c>
      <c r="BM33" s="6">
        <v>28</v>
      </c>
      <c r="BN33" s="95" t="s">
        <v>63</v>
      </c>
      <c r="BO33" s="14" t="s">
        <v>64</v>
      </c>
      <c r="BP33" s="30">
        <f t="shared" si="3"/>
        <v>55203.78167321531</v>
      </c>
      <c r="BQ33" s="30"/>
      <c r="BR33" s="22">
        <f t="shared" si="21"/>
        <v>1640.2683227947973</v>
      </c>
      <c r="BS33" s="2"/>
      <c r="BT33" s="2"/>
      <c r="BU33" s="2"/>
      <c r="BV33" s="2"/>
      <c r="BW33" s="6">
        <v>28</v>
      </c>
      <c r="BX33" s="95" t="s">
        <v>63</v>
      </c>
      <c r="BY33" s="14" t="s">
        <v>64</v>
      </c>
      <c r="BZ33" s="30">
        <f t="shared" si="22"/>
        <v>433.4636174636174</v>
      </c>
      <c r="CA33" s="2">
        <f t="shared" si="32"/>
        <v>5920</v>
      </c>
      <c r="CB33" s="2"/>
      <c r="CC33" s="2">
        <v>44252.44</v>
      </c>
      <c r="CD33" s="2"/>
      <c r="CE33" s="30">
        <f t="shared" si="23"/>
        <v>2957.609732956892</v>
      </c>
      <c r="CF33" s="6">
        <v>28</v>
      </c>
      <c r="CG33" s="95" t="s">
        <v>63</v>
      </c>
      <c r="CH33" s="14" t="s">
        <v>64</v>
      </c>
      <c r="CI33" s="46">
        <f t="shared" si="4"/>
        <v>189090.24835859952</v>
      </c>
      <c r="CJ33" s="38">
        <f t="shared" si="24"/>
        <v>0.617324098518423</v>
      </c>
      <c r="CK33" s="30">
        <f t="shared" si="25"/>
        <v>134621.66451007422</v>
      </c>
      <c r="CL33" s="30">
        <f t="shared" si="26"/>
        <v>37991.61049790829</v>
      </c>
      <c r="CM33" s="30">
        <f t="shared" si="27"/>
        <v>16476.973350617027</v>
      </c>
      <c r="CN33" s="6">
        <v>28</v>
      </c>
      <c r="CO33" s="95" t="s">
        <v>63</v>
      </c>
      <c r="CP33" s="14" t="s">
        <v>64</v>
      </c>
      <c r="CQ33" s="30">
        <f t="shared" si="28"/>
        <v>64319.30149820618</v>
      </c>
      <c r="CR33" s="22">
        <f t="shared" si="29"/>
        <v>5372.072002199838</v>
      </c>
      <c r="CS33" s="22">
        <f t="shared" si="30"/>
        <v>20750.57152508676</v>
      </c>
      <c r="CT33" s="109">
        <f t="shared" si="31"/>
        <v>811.0581720848252</v>
      </c>
      <c r="CU33" s="126">
        <f>125842.4+49469.72</f>
        <v>175312.12</v>
      </c>
      <c r="CV33" s="127">
        <f>43532.11+127785.76</f>
        <v>171317.87</v>
      </c>
      <c r="CW33" s="84">
        <v>28</v>
      </c>
      <c r="CX33" s="95" t="s">
        <v>63</v>
      </c>
      <c r="CY33" s="14" t="s">
        <v>64</v>
      </c>
      <c r="CZ33" s="116">
        <v>7.3</v>
      </c>
      <c r="DA33" s="2">
        <v>144808.64</v>
      </c>
      <c r="DB33" s="2">
        <f>127816.26+108.03</f>
        <v>127924.29</v>
      </c>
      <c r="DC33" s="15"/>
      <c r="DD33" s="11"/>
      <c r="DE33" s="112"/>
      <c r="DF33" s="84">
        <v>28</v>
      </c>
      <c r="DG33" s="95" t="s">
        <v>63</v>
      </c>
      <c r="DH33" s="14" t="s">
        <v>64</v>
      </c>
      <c r="DI33" s="132">
        <v>7.3</v>
      </c>
      <c r="DJ33" s="52">
        <f>3164.84+42304.96</f>
        <v>45469.8</v>
      </c>
      <c r="DK33" s="134">
        <f>37374.76+3420.63</f>
        <v>40795.39</v>
      </c>
      <c r="DL33" s="23"/>
      <c r="DM33" s="23"/>
    </row>
    <row r="34" spans="1:117" ht="12" customHeight="1">
      <c r="A34" s="6">
        <v>29</v>
      </c>
      <c r="B34" s="6" t="s">
        <v>63</v>
      </c>
      <c r="C34" s="8">
        <v>18</v>
      </c>
      <c r="D34" s="52">
        <v>2890.4</v>
      </c>
      <c r="E34" s="44">
        <v>1969</v>
      </c>
      <c r="F34" s="45">
        <v>4</v>
      </c>
      <c r="G34" s="45">
        <v>5</v>
      </c>
      <c r="H34" s="45"/>
      <c r="I34" s="45">
        <v>80</v>
      </c>
      <c r="J34" s="45"/>
      <c r="K34" s="46">
        <v>390.5</v>
      </c>
      <c r="L34" s="47">
        <v>862.6</v>
      </c>
      <c r="M34" s="48">
        <v>0</v>
      </c>
      <c r="N34" s="48">
        <v>0</v>
      </c>
      <c r="O34" s="48">
        <v>2426.4</v>
      </c>
      <c r="P34" s="45"/>
      <c r="Q34" s="49" t="s">
        <v>46</v>
      </c>
      <c r="R34" s="6">
        <v>29</v>
      </c>
      <c r="S34" s="95" t="s">
        <v>63</v>
      </c>
      <c r="T34" s="14">
        <v>18</v>
      </c>
      <c r="U34" s="50" t="s">
        <v>47</v>
      </c>
      <c r="V34" s="48">
        <v>871</v>
      </c>
      <c r="W34" s="31">
        <f t="shared" si="5"/>
        <v>-33957.890000000014</v>
      </c>
      <c r="X34" s="3">
        <v>700201.38</v>
      </c>
      <c r="Y34" s="3">
        <v>666243.49</v>
      </c>
      <c r="Z34" s="104">
        <f t="shared" si="6"/>
        <v>95.15026805574134</v>
      </c>
      <c r="AA34" s="3">
        <f t="shared" si="7"/>
        <v>-76819.49859391409</v>
      </c>
      <c r="AB34" s="3">
        <f t="shared" si="8"/>
        <v>743062.9885939141</v>
      </c>
      <c r="AC34" s="32">
        <f t="shared" si="0"/>
        <v>629714.3971134865</v>
      </c>
      <c r="AD34" s="6">
        <v>29</v>
      </c>
      <c r="AE34" s="95" t="s">
        <v>63</v>
      </c>
      <c r="AF34" s="14">
        <v>18</v>
      </c>
      <c r="AG34" s="2">
        <f t="shared" si="9"/>
        <v>101509.51421045142</v>
      </c>
      <c r="AH34" s="2">
        <f>1.03*1.078</f>
        <v>1.11034</v>
      </c>
      <c r="AI34" s="30">
        <f t="shared" si="10"/>
        <v>77365.68466352625</v>
      </c>
      <c r="AJ34" s="30">
        <f t="shared" si="11"/>
        <v>18312.4458276653</v>
      </c>
      <c r="AK34" s="2">
        <f t="shared" si="1"/>
        <v>95678.13049119155</v>
      </c>
      <c r="AL34" s="30">
        <f t="shared" si="12"/>
        <v>5831.383719259871</v>
      </c>
      <c r="AM34" s="6">
        <v>29</v>
      </c>
      <c r="AN34" s="95" t="s">
        <v>63</v>
      </c>
      <c r="AO34" s="14">
        <v>18</v>
      </c>
      <c r="AP34" s="30">
        <f t="shared" si="2"/>
        <v>220563.26334077434</v>
      </c>
      <c r="AQ34" s="2">
        <f>(1.006+0.02)*1.003</f>
        <v>1.029078</v>
      </c>
      <c r="AR34" s="30">
        <f t="shared" si="13"/>
        <v>132295.7530794271</v>
      </c>
      <c r="AS34" s="30">
        <f t="shared" si="14"/>
        <v>36558.7885763487</v>
      </c>
      <c r="AT34" s="9">
        <v>8673.45</v>
      </c>
      <c r="AU34" s="22">
        <f t="shared" si="15"/>
        <v>1872.4881332002258</v>
      </c>
      <c r="AV34" s="6">
        <v>29</v>
      </c>
      <c r="AW34" s="95" t="s">
        <v>63</v>
      </c>
      <c r="AX34" s="14">
        <v>18</v>
      </c>
      <c r="AY34" s="22">
        <f t="shared" si="16"/>
        <v>0</v>
      </c>
      <c r="AZ34" s="10"/>
      <c r="BA34" s="2"/>
      <c r="BB34" s="2"/>
      <c r="BC34" s="2"/>
      <c r="BD34" s="2"/>
      <c r="BE34" s="2"/>
      <c r="BF34" s="6">
        <v>29</v>
      </c>
      <c r="BG34" s="95" t="s">
        <v>63</v>
      </c>
      <c r="BH34" s="14">
        <v>18</v>
      </c>
      <c r="BI34" s="31">
        <f t="shared" si="17"/>
        <v>0.15468530664246663</v>
      </c>
      <c r="BJ34" s="31">
        <f t="shared" si="18"/>
        <v>24433.79952575251</v>
      </c>
      <c r="BK34" s="30">
        <f t="shared" si="19"/>
        <v>6874.569537789441</v>
      </c>
      <c r="BL34" s="106">
        <f t="shared" si="20"/>
        <v>9854.41448825637</v>
      </c>
      <c r="BM34" s="6">
        <v>29</v>
      </c>
      <c r="BN34" s="95" t="s">
        <v>63</v>
      </c>
      <c r="BO34" s="14">
        <v>18</v>
      </c>
      <c r="BP34" s="30">
        <f t="shared" si="3"/>
        <v>54753.49325991562</v>
      </c>
      <c r="BQ34" s="30"/>
      <c r="BR34" s="22">
        <f t="shared" si="21"/>
        <v>1479.6303477330014</v>
      </c>
      <c r="BS34" s="2"/>
      <c r="BT34" s="2"/>
      <c r="BU34" s="2"/>
      <c r="BV34" s="2"/>
      <c r="BW34" s="6">
        <v>29</v>
      </c>
      <c r="BX34" s="95" t="s">
        <v>63</v>
      </c>
      <c r="BY34" s="14">
        <v>18</v>
      </c>
      <c r="BZ34" s="30">
        <f t="shared" si="22"/>
        <v>433.4636174636174</v>
      </c>
      <c r="CA34" s="2">
        <f t="shared" si="32"/>
        <v>5920</v>
      </c>
      <c r="CB34" s="2"/>
      <c r="CC34" s="2">
        <v>44252.44</v>
      </c>
      <c r="CD34" s="2"/>
      <c r="CE34" s="30">
        <f t="shared" si="23"/>
        <v>2667.959294718994</v>
      </c>
      <c r="CF34" s="6">
        <v>29</v>
      </c>
      <c r="CG34" s="95" t="s">
        <v>63</v>
      </c>
      <c r="CH34" s="14">
        <v>18</v>
      </c>
      <c r="CI34" s="46">
        <f t="shared" si="4"/>
        <v>170571.89122267527</v>
      </c>
      <c r="CJ34" s="38">
        <f t="shared" si="24"/>
        <v>0.5568671039128799</v>
      </c>
      <c r="CK34" s="30">
        <f t="shared" si="25"/>
        <v>121437.63157727936</v>
      </c>
      <c r="CL34" s="30">
        <f t="shared" si="26"/>
        <v>34270.941571423165</v>
      </c>
      <c r="CM34" s="30">
        <f t="shared" si="27"/>
        <v>14863.31807397274</v>
      </c>
      <c r="CN34" s="6">
        <v>29</v>
      </c>
      <c r="CO34" s="95" t="s">
        <v>63</v>
      </c>
      <c r="CP34" s="14">
        <v>18</v>
      </c>
      <c r="CQ34" s="30">
        <f t="shared" si="28"/>
        <v>58020.25749029872</v>
      </c>
      <c r="CR34" s="22">
        <f t="shared" si="29"/>
        <v>4845.963708619441</v>
      </c>
      <c r="CS34" s="22">
        <f t="shared" si="30"/>
        <v>18718.38584860832</v>
      </c>
      <c r="CT34" s="109">
        <f t="shared" si="31"/>
        <v>731.6280321434301</v>
      </c>
      <c r="CU34" s="126">
        <f>113534.88+44627.76</f>
        <v>158162.64</v>
      </c>
      <c r="CV34" s="127">
        <f>40226.06+110441.2</f>
        <v>150667.26</v>
      </c>
      <c r="CW34" s="84">
        <v>29</v>
      </c>
      <c r="CX34" s="95" t="s">
        <v>63</v>
      </c>
      <c r="CY34" s="14">
        <v>18</v>
      </c>
      <c r="CZ34" s="116">
        <v>7.3</v>
      </c>
      <c r="DA34" s="2">
        <f>1353.42+136155.22</f>
        <v>137508.64</v>
      </c>
      <c r="DB34" s="2">
        <f>121410.02-291.6</f>
        <v>121118.42</v>
      </c>
      <c r="DC34" s="15"/>
      <c r="DD34" s="11"/>
      <c r="DE34" s="112"/>
      <c r="DF34" s="84">
        <v>29</v>
      </c>
      <c r="DG34" s="95" t="s">
        <v>63</v>
      </c>
      <c r="DH34" s="14">
        <v>18</v>
      </c>
      <c r="DI34" s="132">
        <v>7.3</v>
      </c>
      <c r="DJ34" s="52">
        <f>2357.48+31290.72</f>
        <v>33648.200000000004</v>
      </c>
      <c r="DK34" s="134">
        <f>30768.57+3130.13</f>
        <v>33898.7</v>
      </c>
      <c r="DL34" s="23"/>
      <c r="DM34" s="23"/>
    </row>
    <row r="35" spans="1:117" ht="12" customHeight="1">
      <c r="A35" s="6">
        <v>30</v>
      </c>
      <c r="B35" s="6" t="s">
        <v>63</v>
      </c>
      <c r="C35" s="8">
        <v>19</v>
      </c>
      <c r="D35" s="52">
        <v>3175.4</v>
      </c>
      <c r="E35" s="44">
        <v>1963</v>
      </c>
      <c r="F35" s="45">
        <v>4</v>
      </c>
      <c r="G35" s="45">
        <v>5</v>
      </c>
      <c r="H35" s="45"/>
      <c r="I35" s="45">
        <v>80</v>
      </c>
      <c r="J35" s="45"/>
      <c r="K35" s="46">
        <v>305.6</v>
      </c>
      <c r="L35" s="47">
        <v>995</v>
      </c>
      <c r="M35" s="48">
        <v>0</v>
      </c>
      <c r="N35" s="48">
        <v>0</v>
      </c>
      <c r="O35" s="48">
        <v>2626</v>
      </c>
      <c r="P35" s="45"/>
      <c r="Q35" s="49" t="s">
        <v>46</v>
      </c>
      <c r="R35" s="6">
        <v>30</v>
      </c>
      <c r="S35" s="95" t="s">
        <v>63</v>
      </c>
      <c r="T35" s="14">
        <v>19</v>
      </c>
      <c r="U35" s="50" t="s">
        <v>47</v>
      </c>
      <c r="V35" s="48">
        <v>1072</v>
      </c>
      <c r="W35" s="31">
        <f t="shared" si="5"/>
        <v>31685.98999999999</v>
      </c>
      <c r="X35" s="3">
        <v>769242.81</v>
      </c>
      <c r="Y35" s="3">
        <v>800928.8</v>
      </c>
      <c r="Z35" s="104">
        <f t="shared" si="6"/>
        <v>104.11911422350506</v>
      </c>
      <c r="AA35" s="3">
        <f t="shared" si="7"/>
        <v>27440.989541083807</v>
      </c>
      <c r="AB35" s="3">
        <f t="shared" si="8"/>
        <v>773487.8104589162</v>
      </c>
      <c r="AC35" s="32">
        <f t="shared" si="0"/>
        <v>655498.1444567087</v>
      </c>
      <c r="AD35" s="6">
        <v>30</v>
      </c>
      <c r="AE35" s="95" t="s">
        <v>63</v>
      </c>
      <c r="AF35" s="14">
        <v>19</v>
      </c>
      <c r="AG35" s="2">
        <f t="shared" si="9"/>
        <v>96581.86788955572</v>
      </c>
      <c r="AH35" s="2">
        <f>0.98*1.078</f>
        <v>1.05644</v>
      </c>
      <c r="AI35" s="30">
        <f t="shared" si="10"/>
        <v>73610.06890316089</v>
      </c>
      <c r="AJ35" s="30">
        <f t="shared" si="11"/>
        <v>17423.492146710672</v>
      </c>
      <c r="AK35" s="2">
        <f t="shared" si="1"/>
        <v>91033.56104987157</v>
      </c>
      <c r="AL35" s="30">
        <f t="shared" si="12"/>
        <v>5548.306839684149</v>
      </c>
      <c r="AM35" s="6">
        <v>30</v>
      </c>
      <c r="AN35" s="95" t="s">
        <v>63</v>
      </c>
      <c r="AO35" s="14">
        <v>19</v>
      </c>
      <c r="AP35" s="30">
        <f t="shared" si="2"/>
        <v>270182.7920490842</v>
      </c>
      <c r="AQ35" s="2">
        <f>(1.073+0.018)*1.003</f>
        <v>1.0942729999999998</v>
      </c>
      <c r="AR35" s="30">
        <f t="shared" si="13"/>
        <v>140677.06297237324</v>
      </c>
      <c r="AS35" s="30">
        <f t="shared" si="14"/>
        <v>38874.89116646825</v>
      </c>
      <c r="AT35" s="9">
        <v>43409.57</v>
      </c>
      <c r="AU35" s="22">
        <f t="shared" si="15"/>
        <v>1999.740477921798</v>
      </c>
      <c r="AV35" s="6">
        <v>30</v>
      </c>
      <c r="AW35" s="95" t="s">
        <v>63</v>
      </c>
      <c r="AX35" s="14">
        <v>19</v>
      </c>
      <c r="AY35" s="22">
        <f t="shared" si="16"/>
        <v>0</v>
      </c>
      <c r="AZ35" s="2"/>
      <c r="BA35" s="2"/>
      <c r="BB35" s="2"/>
      <c r="BC35" s="2"/>
      <c r="BD35" s="2"/>
      <c r="BE35" s="2"/>
      <c r="BF35" s="6">
        <v>30</v>
      </c>
      <c r="BG35" s="95" t="s">
        <v>63</v>
      </c>
      <c r="BH35" s="14">
        <v>19</v>
      </c>
      <c r="BI35" s="31">
        <f t="shared" si="17"/>
        <v>0.1699376289484115</v>
      </c>
      <c r="BJ35" s="31">
        <f t="shared" si="18"/>
        <v>26843.027613504888</v>
      </c>
      <c r="BK35" s="30">
        <f t="shared" si="19"/>
        <v>7552.417696615206</v>
      </c>
      <c r="BL35" s="106">
        <f t="shared" si="20"/>
        <v>10826.082122200829</v>
      </c>
      <c r="BM35" s="6">
        <v>30</v>
      </c>
      <c r="BN35" s="95" t="s">
        <v>63</v>
      </c>
      <c r="BO35" s="14">
        <v>19</v>
      </c>
      <c r="BP35" s="30">
        <f t="shared" si="3"/>
        <v>10910.015011956444</v>
      </c>
      <c r="BQ35" s="30"/>
      <c r="BR35" s="22">
        <f t="shared" si="21"/>
        <v>1625.525258161975</v>
      </c>
      <c r="BS35" s="2"/>
      <c r="BT35" s="2"/>
      <c r="BU35" s="2"/>
      <c r="BV35" s="2"/>
      <c r="BW35" s="6">
        <v>30</v>
      </c>
      <c r="BX35" s="95" t="s">
        <v>63</v>
      </c>
      <c r="BY35" s="14">
        <v>19</v>
      </c>
      <c r="BZ35" s="30">
        <f t="shared" si="22"/>
        <v>433.4636174636174</v>
      </c>
      <c r="CA35" s="2">
        <f t="shared" si="32"/>
        <v>5920</v>
      </c>
      <c r="CB35" s="2"/>
      <c r="CC35" s="2"/>
      <c r="CD35" s="2"/>
      <c r="CE35" s="30">
        <f t="shared" si="23"/>
        <v>2931.026136330852</v>
      </c>
      <c r="CF35" s="6">
        <v>30</v>
      </c>
      <c r="CG35" s="95" t="s">
        <v>63</v>
      </c>
      <c r="CH35" s="14">
        <v>19</v>
      </c>
      <c r="CI35" s="46">
        <f t="shared" si="4"/>
        <v>187390.66682413613</v>
      </c>
      <c r="CJ35" s="38">
        <f t="shared" si="24"/>
        <v>0.6117754642142813</v>
      </c>
      <c r="CK35" s="30">
        <f t="shared" si="25"/>
        <v>133411.65766346973</v>
      </c>
      <c r="CL35" s="30">
        <f t="shared" si="26"/>
        <v>37650.13419107982</v>
      </c>
      <c r="CM35" s="30">
        <f t="shared" si="27"/>
        <v>16328.874969586575</v>
      </c>
      <c r="CN35" s="6">
        <v>30</v>
      </c>
      <c r="CO35" s="95" t="s">
        <v>63</v>
      </c>
      <c r="CP35" s="14">
        <v>19</v>
      </c>
      <c r="CQ35" s="30">
        <f t="shared" si="28"/>
        <v>63741.18656057797</v>
      </c>
      <c r="CR35" s="22">
        <f t="shared" si="29"/>
        <v>5323.786728601637</v>
      </c>
      <c r="CS35" s="22">
        <f t="shared" si="30"/>
        <v>20564.061176193904</v>
      </c>
      <c r="CT35" s="109">
        <f t="shared" si="31"/>
        <v>803.7682166026322</v>
      </c>
      <c r="CU35" s="126">
        <f>124729.6+49028.16</f>
        <v>173757.76</v>
      </c>
      <c r="CV35" s="127">
        <f>44506.4+134932.61</f>
        <v>179439.00999999998</v>
      </c>
      <c r="CW35" s="84">
        <v>30</v>
      </c>
      <c r="CX35" s="95" t="s">
        <v>63</v>
      </c>
      <c r="CY35" s="14">
        <v>19</v>
      </c>
      <c r="CZ35" s="116">
        <v>7.3</v>
      </c>
      <c r="DA35" s="2">
        <v>165038.4</v>
      </c>
      <c r="DB35" s="2">
        <f>149635.92+2321.42</f>
        <v>151957.34000000003</v>
      </c>
      <c r="DC35" s="15"/>
      <c r="DD35" s="11"/>
      <c r="DE35" s="112"/>
      <c r="DF35" s="84">
        <v>30</v>
      </c>
      <c r="DG35" s="95" t="s">
        <v>63</v>
      </c>
      <c r="DH35" s="14">
        <v>19</v>
      </c>
      <c r="DI35" s="132">
        <v>7.3</v>
      </c>
      <c r="DJ35" s="52">
        <f>1583.36+20404.96</f>
        <v>21988.32</v>
      </c>
      <c r="DK35" s="134">
        <f>18994.65+1656.78</f>
        <v>20651.43</v>
      </c>
      <c r="DL35" s="23"/>
      <c r="DM35" s="23"/>
    </row>
    <row r="36" spans="1:117" ht="12" customHeight="1">
      <c r="A36" s="27">
        <v>31</v>
      </c>
      <c r="B36" s="27" t="s">
        <v>63</v>
      </c>
      <c r="C36" s="29">
        <v>21</v>
      </c>
      <c r="D36" s="30">
        <v>3202.9</v>
      </c>
      <c r="E36" s="36">
        <v>1963</v>
      </c>
      <c r="F36" s="37">
        <v>4</v>
      </c>
      <c r="G36" s="37">
        <v>5</v>
      </c>
      <c r="H36" s="37"/>
      <c r="I36" s="37">
        <v>80</v>
      </c>
      <c r="J36" s="37"/>
      <c r="K36" s="38">
        <v>300</v>
      </c>
      <c r="L36" s="39">
        <f>257+537</f>
        <v>794</v>
      </c>
      <c r="M36" s="40">
        <v>0</v>
      </c>
      <c r="N36" s="40">
        <v>0</v>
      </c>
      <c r="O36" s="40">
        <v>2166</v>
      </c>
      <c r="P36" s="37"/>
      <c r="Q36" s="41" t="s">
        <v>46</v>
      </c>
      <c r="R36" s="27">
        <v>31</v>
      </c>
      <c r="S36" s="34" t="s">
        <v>63</v>
      </c>
      <c r="T36" s="96">
        <v>21</v>
      </c>
      <c r="U36" s="42" t="s">
        <v>47</v>
      </c>
      <c r="V36" s="40">
        <v>1106</v>
      </c>
      <c r="W36" s="31">
        <f t="shared" si="5"/>
        <v>-56459.05999999994</v>
      </c>
      <c r="X36" s="31">
        <v>772086.87</v>
      </c>
      <c r="Y36" s="31">
        <v>715627.81</v>
      </c>
      <c r="Z36" s="103">
        <f t="shared" si="6"/>
        <v>92.68747310778645</v>
      </c>
      <c r="AA36" s="31">
        <f t="shared" si="7"/>
        <v>-49217.75143329229</v>
      </c>
      <c r="AB36" s="31">
        <f t="shared" si="8"/>
        <v>764845.5614332923</v>
      </c>
      <c r="AC36" s="32">
        <f t="shared" si="0"/>
        <v>648174.2046044851</v>
      </c>
      <c r="AD36" s="27">
        <v>31</v>
      </c>
      <c r="AE36" s="34" t="s">
        <v>63</v>
      </c>
      <c r="AF36" s="96">
        <v>21</v>
      </c>
      <c r="AG36" s="30">
        <f t="shared" si="9"/>
        <v>84755.51671940603</v>
      </c>
      <c r="AH36" s="30">
        <f>0.86*1.078</f>
        <v>0.92708</v>
      </c>
      <c r="AI36" s="30">
        <f t="shared" si="10"/>
        <v>64596.591078284044</v>
      </c>
      <c r="AJ36" s="30">
        <f t="shared" si="11"/>
        <v>15290.003312419567</v>
      </c>
      <c r="AK36" s="30">
        <f t="shared" si="1"/>
        <v>79886.59439070361</v>
      </c>
      <c r="AL36" s="30">
        <f t="shared" si="12"/>
        <v>4868.922328702417</v>
      </c>
      <c r="AM36" s="27">
        <v>31</v>
      </c>
      <c r="AN36" s="34" t="s">
        <v>63</v>
      </c>
      <c r="AO36" s="96">
        <v>21</v>
      </c>
      <c r="AP36" s="30">
        <f t="shared" si="2"/>
        <v>272239.7002572395</v>
      </c>
      <c r="AQ36" s="30">
        <f>(1.081+0.018)*1.003</f>
        <v>1.1022969999999999</v>
      </c>
      <c r="AR36" s="30">
        <f t="shared" si="13"/>
        <v>141708.60880535122</v>
      </c>
      <c r="AS36" s="30">
        <f t="shared" si="14"/>
        <v>39159.94994679066</v>
      </c>
      <c r="AT36" s="9">
        <v>39124.29</v>
      </c>
      <c r="AU36" s="22">
        <f t="shared" si="15"/>
        <v>2014.7608913227432</v>
      </c>
      <c r="AV36" s="27">
        <v>31</v>
      </c>
      <c r="AW36" s="34" t="s">
        <v>63</v>
      </c>
      <c r="AX36" s="96">
        <v>21</v>
      </c>
      <c r="AY36" s="22">
        <f t="shared" si="16"/>
        <v>4618.93</v>
      </c>
      <c r="AZ36" s="22">
        <v>4618.93</v>
      </c>
      <c r="BA36" s="30"/>
      <c r="BB36" s="30"/>
      <c r="BC36" s="30"/>
      <c r="BD36" s="30"/>
      <c r="BE36" s="30"/>
      <c r="BF36" s="27">
        <v>31</v>
      </c>
      <c r="BG36" s="34" t="s">
        <v>63</v>
      </c>
      <c r="BH36" s="96">
        <v>21</v>
      </c>
      <c r="BI36" s="31">
        <f t="shared" si="17"/>
        <v>0.17140934425863424</v>
      </c>
      <c r="BJ36" s="31">
        <f t="shared" si="18"/>
        <v>27075.496990393276</v>
      </c>
      <c r="BK36" s="30">
        <f t="shared" si="19"/>
        <v>7617.824097905412</v>
      </c>
      <c r="BL36" s="106">
        <f t="shared" si="20"/>
        <v>10919.839525476173</v>
      </c>
      <c r="BM36" s="27">
        <v>31</v>
      </c>
      <c r="BN36" s="34" t="s">
        <v>63</v>
      </c>
      <c r="BO36" s="96">
        <v>21</v>
      </c>
      <c r="BP36" s="30">
        <f t="shared" si="3"/>
        <v>10949.476233644595</v>
      </c>
      <c r="BQ36" s="30"/>
      <c r="BR36" s="22">
        <f t="shared" si="21"/>
        <v>1639.6028372384549</v>
      </c>
      <c r="BS36" s="30"/>
      <c r="BT36" s="30"/>
      <c r="BU36" s="30"/>
      <c r="BV36" s="30"/>
      <c r="BW36" s="27">
        <v>31</v>
      </c>
      <c r="BX36" s="34" t="s">
        <v>63</v>
      </c>
      <c r="BY36" s="96">
        <v>21</v>
      </c>
      <c r="BZ36" s="30">
        <f t="shared" si="22"/>
        <v>433.4636174636174</v>
      </c>
      <c r="CA36" s="2">
        <f t="shared" si="32"/>
        <v>5920</v>
      </c>
      <c r="CB36" s="2"/>
      <c r="CC36" s="30"/>
      <c r="CD36" s="30"/>
      <c r="CE36" s="30">
        <f t="shared" si="23"/>
        <v>2956.4097789425223</v>
      </c>
      <c r="CF36" s="27">
        <v>31</v>
      </c>
      <c r="CG36" s="34" t="s">
        <v>63</v>
      </c>
      <c r="CH36" s="96">
        <v>21</v>
      </c>
      <c r="CI36" s="38">
        <f t="shared" si="4"/>
        <v>189013.53113655778</v>
      </c>
      <c r="CJ36" s="38">
        <f t="shared" si="24"/>
        <v>0.6170736393310833</v>
      </c>
      <c r="CK36" s="30">
        <f t="shared" si="25"/>
        <v>134567.04614547055</v>
      </c>
      <c r="CL36" s="30">
        <f t="shared" si="26"/>
        <v>37976.19663683617</v>
      </c>
      <c r="CM36" s="30">
        <f t="shared" si="27"/>
        <v>16470.28835425107</v>
      </c>
      <c r="CN36" s="27">
        <v>31</v>
      </c>
      <c r="CO36" s="34" t="s">
        <v>63</v>
      </c>
      <c r="CP36" s="96">
        <v>21</v>
      </c>
      <c r="CQ36" s="30">
        <f t="shared" si="28"/>
        <v>64293.20603227158</v>
      </c>
      <c r="CR36" s="22">
        <f t="shared" si="29"/>
        <v>5369.892458599919</v>
      </c>
      <c r="CS36" s="22">
        <f t="shared" si="30"/>
        <v>20742.15265517146</v>
      </c>
      <c r="CT36" s="109">
        <f t="shared" si="31"/>
        <v>810.7291115943095</v>
      </c>
      <c r="CU36" s="126">
        <f>124854.91+49444.86</f>
        <v>174299.77000000002</v>
      </c>
      <c r="CV36" s="127">
        <f>41478.07+119512.73</f>
        <v>160990.8</v>
      </c>
      <c r="CW36" s="83">
        <v>31</v>
      </c>
      <c r="CX36" s="34" t="s">
        <v>63</v>
      </c>
      <c r="CY36" s="96">
        <v>21</v>
      </c>
      <c r="CZ36" s="114">
        <v>7.3</v>
      </c>
      <c r="DA36" s="30">
        <v>147500.64</v>
      </c>
      <c r="DB36" s="30">
        <f>126838.78+23.63</f>
        <v>126862.41</v>
      </c>
      <c r="DC36" s="34"/>
      <c r="DD36" s="33"/>
      <c r="DE36" s="117"/>
      <c r="DF36" s="83">
        <v>31</v>
      </c>
      <c r="DG36" s="34" t="s">
        <v>63</v>
      </c>
      <c r="DH36" s="96">
        <v>21</v>
      </c>
      <c r="DI36" s="114">
        <v>7.3</v>
      </c>
      <c r="DJ36" s="30">
        <f>2237.63+40325.2</f>
        <v>42562.829999999994</v>
      </c>
      <c r="DK36" s="43">
        <f>30574.51+3259.76</f>
        <v>33834.27</v>
      </c>
      <c r="DL36" s="35"/>
      <c r="DM36" s="35"/>
    </row>
    <row r="37" spans="1:117" ht="12" customHeight="1">
      <c r="A37" s="6">
        <v>32</v>
      </c>
      <c r="B37" s="6" t="s">
        <v>63</v>
      </c>
      <c r="C37" s="8">
        <v>22</v>
      </c>
      <c r="D37" s="52">
        <v>8416.8</v>
      </c>
      <c r="E37" s="44">
        <v>1975</v>
      </c>
      <c r="F37" s="45">
        <v>4</v>
      </c>
      <c r="G37" s="45">
        <v>9</v>
      </c>
      <c r="H37" s="45">
        <v>4</v>
      </c>
      <c r="I37" s="45">
        <v>197</v>
      </c>
      <c r="J37" s="45"/>
      <c r="K37" s="46">
        <v>648</v>
      </c>
      <c r="L37" s="47">
        <f>3925.4</f>
        <v>3925.4</v>
      </c>
      <c r="M37" s="48">
        <v>0</v>
      </c>
      <c r="N37" s="48">
        <v>1334.6</v>
      </c>
      <c r="O37" s="48">
        <v>2550</v>
      </c>
      <c r="P37" s="45"/>
      <c r="Q37" s="49" t="s">
        <v>46</v>
      </c>
      <c r="R37" s="6">
        <v>32</v>
      </c>
      <c r="S37" s="95" t="s">
        <v>63</v>
      </c>
      <c r="T37" s="14">
        <v>22</v>
      </c>
      <c r="U37" s="50" t="s">
        <v>44</v>
      </c>
      <c r="V37" s="48">
        <v>1540</v>
      </c>
      <c r="W37" s="31">
        <f t="shared" si="5"/>
        <v>-80538.79999999981</v>
      </c>
      <c r="X37" s="3">
        <v>2630411.27</v>
      </c>
      <c r="Y37" s="3">
        <v>2549872.47</v>
      </c>
      <c r="Z37" s="104">
        <f t="shared" si="6"/>
        <v>96.93816701142708</v>
      </c>
      <c r="AA37" s="3">
        <f t="shared" si="7"/>
        <v>-183004.19917176804</v>
      </c>
      <c r="AB37" s="3">
        <f t="shared" si="8"/>
        <v>2732876.6691717682</v>
      </c>
      <c r="AC37" s="32">
        <f t="shared" si="0"/>
        <v>2315997.1772642103</v>
      </c>
      <c r="AD37" s="6">
        <v>32</v>
      </c>
      <c r="AE37" s="95" t="s">
        <v>63</v>
      </c>
      <c r="AF37" s="14">
        <v>22</v>
      </c>
      <c r="AG37" s="2">
        <f t="shared" si="9"/>
        <v>261165.25500747206</v>
      </c>
      <c r="AH37" s="2">
        <f>2.65*1.078</f>
        <v>2.8567</v>
      </c>
      <c r="AI37" s="30">
        <f t="shared" si="10"/>
        <v>199047.63529936364</v>
      </c>
      <c r="AJ37" s="30">
        <f t="shared" si="11"/>
        <v>47114.54509059518</v>
      </c>
      <c r="AK37" s="2">
        <f t="shared" si="1"/>
        <v>246162.1803899588</v>
      </c>
      <c r="AL37" s="30">
        <f t="shared" si="12"/>
        <v>15003.07461751326</v>
      </c>
      <c r="AM37" s="6">
        <v>32</v>
      </c>
      <c r="AN37" s="95" t="s">
        <v>63</v>
      </c>
      <c r="AO37" s="14">
        <v>22</v>
      </c>
      <c r="AP37" s="30">
        <f t="shared" si="2"/>
        <v>738553.7315386935</v>
      </c>
      <c r="AQ37" s="2">
        <f>(3.091+0.02)*1.003</f>
        <v>3.120333</v>
      </c>
      <c r="AR37" s="30">
        <f t="shared" si="13"/>
        <v>401142.38579931547</v>
      </c>
      <c r="AS37" s="30">
        <f t="shared" si="14"/>
        <v>110852.23319787602</v>
      </c>
      <c r="AT37" s="9">
        <v>90445.88</v>
      </c>
      <c r="AU37" s="22">
        <f t="shared" si="15"/>
        <v>5648.284844720983</v>
      </c>
      <c r="AV37" s="6">
        <v>32</v>
      </c>
      <c r="AW37" s="95" t="s">
        <v>63</v>
      </c>
      <c r="AX37" s="14">
        <v>22</v>
      </c>
      <c r="AY37" s="22">
        <f t="shared" si="16"/>
        <v>10599.56</v>
      </c>
      <c r="AZ37" s="10">
        <v>1392.5</v>
      </c>
      <c r="BA37" s="2"/>
      <c r="BB37" s="2">
        <v>9207.06</v>
      </c>
      <c r="BC37" s="2"/>
      <c r="BD37" s="2"/>
      <c r="BE37" s="2"/>
      <c r="BF37" s="6">
        <v>32</v>
      </c>
      <c r="BG37" s="95" t="s">
        <v>63</v>
      </c>
      <c r="BH37" s="14">
        <v>22</v>
      </c>
      <c r="BI37" s="31">
        <f t="shared" si="17"/>
        <v>0.4504412153848301</v>
      </c>
      <c r="BJ37" s="31">
        <f t="shared" si="18"/>
        <v>71150.84550524277</v>
      </c>
      <c r="BK37" s="30">
        <f t="shared" si="19"/>
        <v>20018.639941069112</v>
      </c>
      <c r="BL37" s="106">
        <f t="shared" si="20"/>
        <v>28695.90225046921</v>
      </c>
      <c r="BM37" s="6">
        <v>32</v>
      </c>
      <c r="BN37" s="95" t="s">
        <v>63</v>
      </c>
      <c r="BO37" s="14">
        <v>22</v>
      </c>
      <c r="BP37" s="30">
        <f t="shared" si="3"/>
        <v>579871.8865865826</v>
      </c>
      <c r="BQ37" s="30"/>
      <c r="BR37" s="22">
        <f t="shared" si="21"/>
        <v>4308.660638942403</v>
      </c>
      <c r="BS37" s="2">
        <f>28000/37*4</f>
        <v>3027.027027027027</v>
      </c>
      <c r="BT37" s="2">
        <f>151689.01/37*4</f>
        <v>16398.81189189189</v>
      </c>
      <c r="BU37" s="2">
        <f>40499.84/37*4</f>
        <v>4378.361081081081</v>
      </c>
      <c r="BV37" s="2">
        <f>4353627.16/37*4</f>
        <v>470662.3956756757</v>
      </c>
      <c r="BW37" s="6">
        <v>32</v>
      </c>
      <c r="BX37" s="95" t="s">
        <v>63</v>
      </c>
      <c r="BY37" s="14">
        <v>22</v>
      </c>
      <c r="BZ37" s="30">
        <f t="shared" si="22"/>
        <v>1067.404158004158</v>
      </c>
      <c r="CA37" s="2"/>
      <c r="CB37" s="2"/>
      <c r="CC37" s="2">
        <v>72260.17</v>
      </c>
      <c r="CD37" s="2"/>
      <c r="CE37" s="30">
        <f t="shared" si="23"/>
        <v>7769.056113960291</v>
      </c>
      <c r="CF37" s="6">
        <v>32</v>
      </c>
      <c r="CG37" s="95" t="s">
        <v>63</v>
      </c>
      <c r="CH37" s="14">
        <v>22</v>
      </c>
      <c r="CI37" s="46">
        <f t="shared" si="4"/>
        <v>496702.7034469323</v>
      </c>
      <c r="CJ37" s="38">
        <f t="shared" si="24"/>
        <v>1.6215883753853886</v>
      </c>
      <c r="CK37" s="30">
        <f t="shared" si="25"/>
        <v>353624.500920165</v>
      </c>
      <c r="CL37" s="30">
        <f t="shared" si="26"/>
        <v>99796.45067061808</v>
      </c>
      <c r="CM37" s="30">
        <f t="shared" si="27"/>
        <v>43281.75185614924</v>
      </c>
      <c r="CN37" s="6">
        <v>32</v>
      </c>
      <c r="CO37" s="95" t="s">
        <v>63</v>
      </c>
      <c r="CP37" s="14">
        <v>22</v>
      </c>
      <c r="CQ37" s="30">
        <f t="shared" si="28"/>
        <v>168954.09052184687</v>
      </c>
      <c r="CR37" s="22">
        <f t="shared" si="29"/>
        <v>14111.371209074212</v>
      </c>
      <c r="CS37" s="22">
        <f t="shared" si="30"/>
        <v>54507.64946393803</v>
      </c>
      <c r="CT37" s="109">
        <f t="shared" si="31"/>
        <v>2130.4894896709184</v>
      </c>
      <c r="CU37" s="126">
        <f>330696.17+129970.39</f>
        <v>460666.56</v>
      </c>
      <c r="CV37" s="127">
        <f>115274.87+329809.08</f>
        <v>445083.95</v>
      </c>
      <c r="CW37" s="84">
        <v>32</v>
      </c>
      <c r="CX37" s="95" t="s">
        <v>63</v>
      </c>
      <c r="CY37" s="14">
        <v>22</v>
      </c>
      <c r="CZ37" s="116">
        <v>7.3</v>
      </c>
      <c r="DA37" s="2">
        <v>424026.34</v>
      </c>
      <c r="DB37" s="2">
        <f>380528.98+905.9</f>
        <v>381434.88</v>
      </c>
      <c r="DC37" s="15"/>
      <c r="DD37" s="11"/>
      <c r="DE37" s="112"/>
      <c r="DF37" s="84">
        <v>32</v>
      </c>
      <c r="DG37" s="95" t="s">
        <v>63</v>
      </c>
      <c r="DH37" s="14">
        <v>22</v>
      </c>
      <c r="DI37" s="132">
        <v>7.3</v>
      </c>
      <c r="DJ37" s="52">
        <f>6501.97+71067.04</f>
        <v>77569.01</v>
      </c>
      <c r="DK37" s="134">
        <f>55688.49+8555.14</f>
        <v>64243.63</v>
      </c>
      <c r="DL37" s="23"/>
      <c r="DM37" s="23"/>
    </row>
    <row r="38" spans="1:117" ht="12" customHeight="1">
      <c r="A38" s="6">
        <v>33</v>
      </c>
      <c r="B38" s="6" t="s">
        <v>63</v>
      </c>
      <c r="C38" s="8">
        <v>23</v>
      </c>
      <c r="D38" s="52">
        <v>2535.5</v>
      </c>
      <c r="E38" s="44">
        <v>1964</v>
      </c>
      <c r="F38" s="45">
        <v>4</v>
      </c>
      <c r="G38" s="45">
        <v>5</v>
      </c>
      <c r="H38" s="45"/>
      <c r="I38" s="45">
        <v>64</v>
      </c>
      <c r="J38" s="45"/>
      <c r="K38" s="46">
        <v>316.8</v>
      </c>
      <c r="L38" s="47">
        <f>149+17+0</f>
        <v>166</v>
      </c>
      <c r="M38" s="48">
        <v>2416</v>
      </c>
      <c r="N38" s="48">
        <v>374</v>
      </c>
      <c r="O38" s="48">
        <v>1620</v>
      </c>
      <c r="P38" s="45"/>
      <c r="Q38" s="49" t="s">
        <v>46</v>
      </c>
      <c r="R38" s="6">
        <v>33</v>
      </c>
      <c r="S38" s="95" t="s">
        <v>63</v>
      </c>
      <c r="T38" s="14">
        <v>23</v>
      </c>
      <c r="U38" s="50" t="s">
        <v>47</v>
      </c>
      <c r="V38" s="48">
        <v>1065</v>
      </c>
      <c r="W38" s="31">
        <f t="shared" si="5"/>
        <v>875.3199999999488</v>
      </c>
      <c r="X38" s="3">
        <v>619735.02</v>
      </c>
      <c r="Y38" s="3">
        <v>620610.34</v>
      </c>
      <c r="Z38" s="104">
        <f t="shared" si="6"/>
        <v>100.14124100974638</v>
      </c>
      <c r="AA38" s="3">
        <f t="shared" si="7"/>
        <v>-136756.10805613524</v>
      </c>
      <c r="AB38" s="3">
        <f t="shared" si="8"/>
        <v>757366.4480561352</v>
      </c>
      <c r="AC38" s="32">
        <f aca="true" t="shared" si="33" ref="AC38:AC54">AG38+AP38+BP38+CI38+CQ38+CR38+CS38+CT38</f>
        <v>641835.9729289282</v>
      </c>
      <c r="AD38" s="6">
        <v>33</v>
      </c>
      <c r="AE38" s="95" t="s">
        <v>63</v>
      </c>
      <c r="AF38" s="14">
        <v>23</v>
      </c>
      <c r="AG38" s="2">
        <f t="shared" si="9"/>
        <v>162612.32858955805</v>
      </c>
      <c r="AH38" s="2">
        <f>1.65*1.078</f>
        <v>1.7787</v>
      </c>
      <c r="AI38" s="30">
        <f t="shared" si="10"/>
        <v>123935.32009205659</v>
      </c>
      <c r="AJ38" s="30">
        <f t="shared" si="11"/>
        <v>29335.471471502657</v>
      </c>
      <c r="AK38" s="2">
        <f t="shared" si="1"/>
        <v>153270.79156355924</v>
      </c>
      <c r="AL38" s="30">
        <f t="shared" si="12"/>
        <v>9341.537025998821</v>
      </c>
      <c r="AM38" s="6">
        <v>33</v>
      </c>
      <c r="AN38" s="95" t="s">
        <v>63</v>
      </c>
      <c r="AO38" s="14">
        <v>23</v>
      </c>
      <c r="AP38" s="30">
        <f t="shared" si="2"/>
        <v>248665.48672451873</v>
      </c>
      <c r="AQ38" s="2">
        <f>(1.032+0.018)*1.003</f>
        <v>1.05315</v>
      </c>
      <c r="AR38" s="30">
        <f t="shared" si="13"/>
        <v>135390.39057836105</v>
      </c>
      <c r="AS38" s="30">
        <f t="shared" si="14"/>
        <v>37413.96491731592</v>
      </c>
      <c r="AT38" s="9">
        <v>37872.03</v>
      </c>
      <c r="AU38" s="22">
        <f t="shared" si="15"/>
        <v>1880.521898788948</v>
      </c>
      <c r="AV38" s="6">
        <v>33</v>
      </c>
      <c r="AW38" s="95" t="s">
        <v>63</v>
      </c>
      <c r="AX38" s="14">
        <v>23</v>
      </c>
      <c r="AY38" s="22">
        <f t="shared" si="16"/>
        <v>0</v>
      </c>
      <c r="AZ38" s="10"/>
      <c r="BA38" s="2"/>
      <c r="BB38" s="2"/>
      <c r="BC38" s="2"/>
      <c r="BD38" s="2"/>
      <c r="BE38" s="2"/>
      <c r="BF38" s="6">
        <v>33</v>
      </c>
      <c r="BG38" s="95" t="s">
        <v>63</v>
      </c>
      <c r="BH38" s="14">
        <v>23</v>
      </c>
      <c r="BI38" s="31">
        <f t="shared" si="17"/>
        <v>0.13569215160253742</v>
      </c>
      <c r="BJ38" s="31">
        <f t="shared" si="18"/>
        <v>21433.67654910929</v>
      </c>
      <c r="BK38" s="30">
        <f t="shared" si="19"/>
        <v>6030.470198956935</v>
      </c>
      <c r="BL38" s="106">
        <f t="shared" si="20"/>
        <v>8644.432581986584</v>
      </c>
      <c r="BM38" s="6">
        <v>33</v>
      </c>
      <c r="BN38" s="95" t="s">
        <v>63</v>
      </c>
      <c r="BO38" s="14">
        <v>23</v>
      </c>
      <c r="BP38" s="30">
        <f aca="true" t="shared" si="34" ref="BP38:BP67">BT38+BQ38+BR38+BS38+BU38+BV38+BZ38+CA38+CB38+CC38+CD38+CE38</f>
        <v>8721.09553361836</v>
      </c>
      <c r="BQ38" s="30"/>
      <c r="BR38" s="22">
        <f t="shared" si="21"/>
        <v>1297.9527908514478</v>
      </c>
      <c r="BS38" s="2"/>
      <c r="BT38" s="2"/>
      <c r="BU38" s="2"/>
      <c r="BV38" s="2"/>
      <c r="BW38" s="6">
        <v>33</v>
      </c>
      <c r="BX38" s="95" t="s">
        <v>63</v>
      </c>
      <c r="BY38" s="14">
        <v>23</v>
      </c>
      <c r="BZ38" s="30">
        <f t="shared" si="22"/>
        <v>346.77089397089395</v>
      </c>
      <c r="CA38" s="2">
        <f>18.5*I38*4</f>
        <v>4736</v>
      </c>
      <c r="CB38" s="2"/>
      <c r="CC38" s="2"/>
      <c r="CD38" s="2"/>
      <c r="CE38" s="30">
        <f t="shared" si="23"/>
        <v>2340.3718487960177</v>
      </c>
      <c r="CF38" s="6">
        <v>33</v>
      </c>
      <c r="CG38" s="95" t="s">
        <v>63</v>
      </c>
      <c r="CH38" s="14">
        <v>23</v>
      </c>
      <c r="CI38" s="46">
        <f t="shared" si="4"/>
        <v>149628.08960527717</v>
      </c>
      <c r="CJ38" s="38">
        <f t="shared" si="24"/>
        <v>0.4884917457691347</v>
      </c>
      <c r="CK38" s="30">
        <f t="shared" si="25"/>
        <v>106526.81804047599</v>
      </c>
      <c r="CL38" s="30">
        <f t="shared" si="26"/>
        <v>30062.957498734926</v>
      </c>
      <c r="CM38" s="30">
        <f t="shared" si="27"/>
        <v>13038.314066066248</v>
      </c>
      <c r="CN38" s="6">
        <v>33</v>
      </c>
      <c r="CO38" s="95" t="s">
        <v>63</v>
      </c>
      <c r="CP38" s="14">
        <v>23</v>
      </c>
      <c r="CQ38" s="30">
        <f t="shared" si="28"/>
        <v>50896.19529015098</v>
      </c>
      <c r="CR38" s="22">
        <f t="shared" si="29"/>
        <v>4250.948305841611</v>
      </c>
      <c r="CS38" s="22">
        <f t="shared" si="30"/>
        <v>16420.034361730693</v>
      </c>
      <c r="CT38" s="109">
        <f t="shared" si="31"/>
        <v>641.7945182326554</v>
      </c>
      <c r="CU38" s="126">
        <f>100788.6+39617.48</f>
        <v>140406.08000000002</v>
      </c>
      <c r="CV38" s="127">
        <f>35087.22+107072.86</f>
        <v>142160.08000000002</v>
      </c>
      <c r="CW38" s="84">
        <v>33</v>
      </c>
      <c r="CX38" s="95" t="s">
        <v>63</v>
      </c>
      <c r="CY38" s="14">
        <v>23</v>
      </c>
      <c r="CZ38" s="116">
        <v>7.3</v>
      </c>
      <c r="DA38" s="2">
        <v>199360.08</v>
      </c>
      <c r="DB38" s="2">
        <f>108134.44+2487.92</f>
        <v>110622.36</v>
      </c>
      <c r="DC38" s="15"/>
      <c r="DD38" s="11"/>
      <c r="DE38" s="112"/>
      <c r="DF38" s="84">
        <v>33</v>
      </c>
      <c r="DG38" s="95" t="s">
        <v>63</v>
      </c>
      <c r="DH38" s="14">
        <v>23</v>
      </c>
      <c r="DI38" s="132">
        <v>7.3</v>
      </c>
      <c r="DJ38" s="52">
        <f>2103.32+28861.28</f>
        <v>30964.6</v>
      </c>
      <c r="DK38" s="134">
        <f>24013.11+2339.14</f>
        <v>26352.25</v>
      </c>
      <c r="DL38" s="23"/>
      <c r="DM38" s="23"/>
    </row>
    <row r="39" spans="1:117" ht="12" customHeight="1">
      <c r="A39" s="6">
        <v>34</v>
      </c>
      <c r="B39" s="6" t="s">
        <v>65</v>
      </c>
      <c r="C39" s="8" t="s">
        <v>107</v>
      </c>
      <c r="D39" s="52">
        <f>4563.6+4826.8</f>
        <v>9390.400000000001</v>
      </c>
      <c r="E39" s="44">
        <v>1985</v>
      </c>
      <c r="F39" s="45">
        <v>2</v>
      </c>
      <c r="G39" s="45">
        <v>14</v>
      </c>
      <c r="H39" s="45">
        <v>4</v>
      </c>
      <c r="I39" s="45">
        <v>189</v>
      </c>
      <c r="J39" s="45">
        <v>189</v>
      </c>
      <c r="K39" s="54">
        <v>1263.6</v>
      </c>
      <c r="L39" s="47">
        <f>2403</f>
        <v>2403</v>
      </c>
      <c r="M39" s="48">
        <v>0</v>
      </c>
      <c r="N39" s="48">
        <v>0</v>
      </c>
      <c r="O39" s="48">
        <v>9011</v>
      </c>
      <c r="P39" s="45">
        <v>2</v>
      </c>
      <c r="Q39" s="49" t="s">
        <v>46</v>
      </c>
      <c r="R39" s="6">
        <v>34</v>
      </c>
      <c r="S39" s="95" t="s">
        <v>65</v>
      </c>
      <c r="T39" s="14" t="s">
        <v>107</v>
      </c>
      <c r="U39" s="50" t="s">
        <v>44</v>
      </c>
      <c r="V39" s="48">
        <v>1174.3</v>
      </c>
      <c r="W39" s="31">
        <f t="shared" si="5"/>
        <v>-24509.699999999953</v>
      </c>
      <c r="X39" s="3">
        <v>1497246.93</v>
      </c>
      <c r="Y39" s="3">
        <v>1472737.23</v>
      </c>
      <c r="Z39" s="104">
        <f t="shared" si="6"/>
        <v>98.36301551140933</v>
      </c>
      <c r="AA39" s="3">
        <v>7</v>
      </c>
      <c r="AB39" s="3">
        <f t="shared" si="8"/>
        <v>2984372.9815862468</v>
      </c>
      <c r="AC39" s="32">
        <f t="shared" si="33"/>
        <v>2529129.6454120735</v>
      </c>
      <c r="AD39" s="6">
        <v>34</v>
      </c>
      <c r="AE39" s="95" t="s">
        <v>65</v>
      </c>
      <c r="AF39" s="14" t="s">
        <v>107</v>
      </c>
      <c r="AG39" s="2">
        <f t="shared" si="9"/>
        <v>391255.11787911854</v>
      </c>
      <c r="AH39" s="2">
        <f>3.97*1.078</f>
        <v>4.279660000000001</v>
      </c>
      <c r="AI39" s="30">
        <f t="shared" si="10"/>
        <v>298195.89137300896</v>
      </c>
      <c r="AJ39" s="30">
        <f t="shared" si="11"/>
        <v>70582.92226779732</v>
      </c>
      <c r="AK39" s="2">
        <f t="shared" si="1"/>
        <v>368778.81364080624</v>
      </c>
      <c r="AL39" s="30">
        <f t="shared" si="12"/>
        <v>22476.30423831232</v>
      </c>
      <c r="AM39" s="6">
        <v>34</v>
      </c>
      <c r="AN39" s="95" t="s">
        <v>65</v>
      </c>
      <c r="AO39" s="14" t="s">
        <v>107</v>
      </c>
      <c r="AP39" s="30">
        <f t="shared" si="2"/>
        <v>741343.0103521841</v>
      </c>
      <c r="AQ39" s="2">
        <f>(2.843+0.02)*1.003</f>
        <v>2.8715889999999997</v>
      </c>
      <c r="AR39" s="30">
        <f t="shared" si="13"/>
        <v>369164.46497699776</v>
      </c>
      <c r="AS39" s="30">
        <f t="shared" si="14"/>
        <v>102015.4110078814</v>
      </c>
      <c r="AT39" s="9">
        <v>129702.77</v>
      </c>
      <c r="AU39" s="22">
        <f t="shared" si="15"/>
        <v>5337.237926394635</v>
      </c>
      <c r="AV39" s="6">
        <v>34</v>
      </c>
      <c r="AW39" s="95" t="s">
        <v>65</v>
      </c>
      <c r="AX39" s="14" t="s">
        <v>107</v>
      </c>
      <c r="AY39" s="22">
        <f t="shared" si="16"/>
        <v>1392.5</v>
      </c>
      <c r="AZ39" s="10">
        <v>1392.5</v>
      </c>
      <c r="BA39" s="2"/>
      <c r="BB39" s="2"/>
      <c r="BC39" s="2"/>
      <c r="BD39" s="2"/>
      <c r="BE39" s="2"/>
      <c r="BF39" s="6">
        <v>34</v>
      </c>
      <c r="BG39" s="95" t="s">
        <v>65</v>
      </c>
      <c r="BH39" s="14" t="s">
        <v>107</v>
      </c>
      <c r="BI39" s="31">
        <f t="shared" si="17"/>
        <v>0.5025452890587527</v>
      </c>
      <c r="BJ39" s="31">
        <f t="shared" si="18"/>
        <v>79381.10679028038</v>
      </c>
      <c r="BK39" s="30">
        <f t="shared" si="19"/>
        <v>22334.264388201624</v>
      </c>
      <c r="BL39" s="106">
        <f t="shared" si="20"/>
        <v>32015.255262428254</v>
      </c>
      <c r="BM39" s="6">
        <v>34</v>
      </c>
      <c r="BN39" s="95" t="s">
        <v>65</v>
      </c>
      <c r="BO39" s="14" t="s">
        <v>107</v>
      </c>
      <c r="BP39" s="30">
        <f t="shared" si="34"/>
        <v>574942.5809679483</v>
      </c>
      <c r="BQ39" s="30"/>
      <c r="BR39" s="22">
        <f t="shared" si="21"/>
        <v>4807.0581294464355</v>
      </c>
      <c r="BS39" s="2">
        <f>28000/37*4</f>
        <v>3027.027027027027</v>
      </c>
      <c r="BT39" s="2">
        <f>151689.01/37*4</f>
        <v>16398.81189189189</v>
      </c>
      <c r="BU39" s="2">
        <f>40499.84/37*4</f>
        <v>4378.361081081081</v>
      </c>
      <c r="BV39" s="2">
        <f>4353627.16/37*4</f>
        <v>470662.3956756757</v>
      </c>
      <c r="BW39" s="6">
        <v>34</v>
      </c>
      <c r="BX39" s="95" t="s">
        <v>65</v>
      </c>
      <c r="BY39" s="14" t="s">
        <v>107</v>
      </c>
      <c r="BZ39" s="30">
        <f t="shared" si="22"/>
        <v>1024.057796257796</v>
      </c>
      <c r="CA39" s="2"/>
      <c r="CB39" s="2">
        <v>65977.14</v>
      </c>
      <c r="CC39" s="2"/>
      <c r="CD39" s="2"/>
      <c r="CE39" s="30">
        <f t="shared" si="23"/>
        <v>8667.72936656838</v>
      </c>
      <c r="CF39" s="6">
        <v>34</v>
      </c>
      <c r="CG39" s="95" t="s">
        <v>65</v>
      </c>
      <c r="CH39" s="14" t="s">
        <v>107</v>
      </c>
      <c r="CI39" s="46">
        <f t="shared" si="4"/>
        <v>554158.0014314316</v>
      </c>
      <c r="CJ39" s="38">
        <f t="shared" si="24"/>
        <v>1.8091630406115098</v>
      </c>
      <c r="CK39" s="30">
        <f t="shared" si="25"/>
        <v>394529.4545956561</v>
      </c>
      <c r="CL39" s="30">
        <f t="shared" si="26"/>
        <v>111340.24693201362</v>
      </c>
      <c r="CM39" s="30">
        <f t="shared" si="27"/>
        <v>48288.29990376199</v>
      </c>
      <c r="CN39" s="6">
        <v>34</v>
      </c>
      <c r="CO39" s="95" t="s">
        <v>65</v>
      </c>
      <c r="CP39" s="14" t="s">
        <v>107</v>
      </c>
      <c r="CQ39" s="30">
        <f t="shared" si="28"/>
        <v>188497.5871633342</v>
      </c>
      <c r="CR39" s="22">
        <f t="shared" si="29"/>
        <v>15743.681708213397</v>
      </c>
      <c r="CS39" s="22">
        <f t="shared" si="30"/>
        <v>60812.735425121646</v>
      </c>
      <c r="CT39" s="109">
        <f t="shared" si="31"/>
        <v>2376.9304847217227</v>
      </c>
      <c r="CU39" s="126">
        <f>179239.54+70462</f>
        <v>249701.54</v>
      </c>
      <c r="CV39" s="127">
        <f>62255.05+181883.88</f>
        <v>244138.93</v>
      </c>
      <c r="CW39" s="84">
        <v>34</v>
      </c>
      <c r="CX39" s="95" t="s">
        <v>65</v>
      </c>
      <c r="CY39" s="14" t="s">
        <v>107</v>
      </c>
      <c r="CZ39" s="116">
        <v>7.3</v>
      </c>
      <c r="DA39" s="2">
        <v>305507.92</v>
      </c>
      <c r="DB39" s="2">
        <f>207342.15+432.85</f>
        <v>207775</v>
      </c>
      <c r="DC39" s="15" t="s">
        <v>94</v>
      </c>
      <c r="DD39" s="11">
        <v>979540</v>
      </c>
      <c r="DE39" s="118">
        <v>0</v>
      </c>
      <c r="DF39" s="84">
        <v>34</v>
      </c>
      <c r="DG39" s="95" t="s">
        <v>65</v>
      </c>
      <c r="DH39" s="14" t="s">
        <v>107</v>
      </c>
      <c r="DI39" s="132">
        <v>7.3</v>
      </c>
      <c r="DJ39" s="52">
        <f>3922.31+38970.32</f>
        <v>42892.63</v>
      </c>
      <c r="DK39" s="134">
        <f>28482.43+4419.22</f>
        <v>32901.65</v>
      </c>
      <c r="DL39" s="23"/>
      <c r="DM39" s="23"/>
    </row>
    <row r="40" spans="1:117" ht="12" customHeight="1">
      <c r="A40" s="6"/>
      <c r="B40" s="6" t="s">
        <v>65</v>
      </c>
      <c r="C40" s="8" t="s">
        <v>106</v>
      </c>
      <c r="D40" s="52"/>
      <c r="E40" s="44"/>
      <c r="F40" s="45"/>
      <c r="G40" s="45"/>
      <c r="H40" s="45"/>
      <c r="I40" s="45"/>
      <c r="J40" s="45"/>
      <c r="K40" s="54"/>
      <c r="L40" s="47"/>
      <c r="M40" s="48"/>
      <c r="N40" s="48"/>
      <c r="O40" s="48"/>
      <c r="P40" s="45"/>
      <c r="Q40" s="49"/>
      <c r="R40" s="6"/>
      <c r="S40" s="95" t="s">
        <v>65</v>
      </c>
      <c r="T40" s="14" t="s">
        <v>106</v>
      </c>
      <c r="U40" s="50"/>
      <c r="V40" s="48"/>
      <c r="W40" s="31">
        <f t="shared" si="5"/>
        <v>-136371.3799999999</v>
      </c>
      <c r="X40" s="3">
        <v>1583721.72</v>
      </c>
      <c r="Y40" s="3">
        <v>1447350.34</v>
      </c>
      <c r="Z40" s="104">
        <f t="shared" si="6"/>
        <v>91.38918294307412</v>
      </c>
      <c r="AA40" s="3">
        <f t="shared" si="7"/>
        <v>1439793.3604000001</v>
      </c>
      <c r="AB40" s="3">
        <f t="shared" si="8"/>
        <v>7556.9796</v>
      </c>
      <c r="AC40" s="32">
        <f t="shared" si="33"/>
        <v>6404.22</v>
      </c>
      <c r="AD40" s="6"/>
      <c r="AE40" s="95" t="s">
        <v>65</v>
      </c>
      <c r="AF40" s="14" t="s">
        <v>106</v>
      </c>
      <c r="AG40" s="2">
        <f t="shared" si="9"/>
        <v>0</v>
      </c>
      <c r="AH40" s="2"/>
      <c r="AI40" s="30"/>
      <c r="AJ40" s="30"/>
      <c r="AK40" s="2"/>
      <c r="AL40" s="30">
        <f t="shared" si="12"/>
        <v>0</v>
      </c>
      <c r="AM40" s="6"/>
      <c r="AN40" s="95" t="s">
        <v>65</v>
      </c>
      <c r="AO40" s="14" t="s">
        <v>106</v>
      </c>
      <c r="AP40" s="30">
        <f t="shared" si="2"/>
        <v>6404.22</v>
      </c>
      <c r="AQ40" s="2"/>
      <c r="AR40" s="30"/>
      <c r="AS40" s="30"/>
      <c r="AT40" s="9"/>
      <c r="AU40" s="22">
        <f t="shared" si="15"/>
        <v>0</v>
      </c>
      <c r="AV40" s="6"/>
      <c r="AW40" s="95" t="s">
        <v>65</v>
      </c>
      <c r="AX40" s="14" t="s">
        <v>106</v>
      </c>
      <c r="AY40" s="22">
        <f t="shared" si="16"/>
        <v>6404.22</v>
      </c>
      <c r="AZ40" s="10"/>
      <c r="BA40" s="2"/>
      <c r="BB40" s="2"/>
      <c r="BC40" s="2">
        <v>6404.22</v>
      </c>
      <c r="BD40" s="2"/>
      <c r="BE40" s="2"/>
      <c r="BF40" s="6"/>
      <c r="BG40" s="95" t="s">
        <v>65</v>
      </c>
      <c r="BH40" s="14" t="s">
        <v>106</v>
      </c>
      <c r="BI40" s="31">
        <f t="shared" si="17"/>
        <v>0</v>
      </c>
      <c r="BJ40" s="31">
        <f t="shared" si="18"/>
        <v>0</v>
      </c>
      <c r="BK40" s="30">
        <f t="shared" si="19"/>
        <v>0</v>
      </c>
      <c r="BL40" s="106">
        <f t="shared" si="20"/>
        <v>0</v>
      </c>
      <c r="BM40" s="6"/>
      <c r="BN40" s="95" t="s">
        <v>65</v>
      </c>
      <c r="BO40" s="14" t="s">
        <v>106</v>
      </c>
      <c r="BP40" s="30">
        <f t="shared" si="34"/>
        <v>0</v>
      </c>
      <c r="BQ40" s="30"/>
      <c r="BR40" s="22">
        <f t="shared" si="21"/>
        <v>0</v>
      </c>
      <c r="BS40" s="2"/>
      <c r="BT40" s="2"/>
      <c r="BU40" s="2"/>
      <c r="BV40" s="2"/>
      <c r="BW40" s="6"/>
      <c r="BX40" s="95" t="s">
        <v>65</v>
      </c>
      <c r="BY40" s="14" t="s">
        <v>106</v>
      </c>
      <c r="BZ40" s="30">
        <f t="shared" si="22"/>
        <v>0</v>
      </c>
      <c r="CA40" s="2"/>
      <c r="CB40" s="2"/>
      <c r="CC40" s="2"/>
      <c r="CD40" s="2"/>
      <c r="CE40" s="30">
        <f t="shared" si="23"/>
        <v>0</v>
      </c>
      <c r="CF40" s="6"/>
      <c r="CG40" s="95" t="s">
        <v>65</v>
      </c>
      <c r="CH40" s="14" t="s">
        <v>106</v>
      </c>
      <c r="CI40" s="46"/>
      <c r="CJ40" s="38">
        <f t="shared" si="24"/>
        <v>0</v>
      </c>
      <c r="CK40" s="30">
        <f t="shared" si="25"/>
        <v>0</v>
      </c>
      <c r="CL40" s="30">
        <f t="shared" si="26"/>
        <v>0</v>
      </c>
      <c r="CM40" s="30">
        <f t="shared" si="27"/>
        <v>0</v>
      </c>
      <c r="CN40" s="6"/>
      <c r="CO40" s="95" t="s">
        <v>65</v>
      </c>
      <c r="CP40" s="14" t="s">
        <v>106</v>
      </c>
      <c r="CQ40" s="30">
        <f t="shared" si="28"/>
        <v>0</v>
      </c>
      <c r="CR40" s="22">
        <f t="shared" si="29"/>
        <v>0</v>
      </c>
      <c r="CS40" s="22">
        <f t="shared" si="30"/>
        <v>0</v>
      </c>
      <c r="CT40" s="109">
        <f t="shared" si="31"/>
        <v>0</v>
      </c>
      <c r="CU40" s="126">
        <f>189596.8+74525.92</f>
        <v>264122.72</v>
      </c>
      <c r="CV40" s="127">
        <f>63861.92+181687.45</f>
        <v>245549.37</v>
      </c>
      <c r="CW40" s="84"/>
      <c r="CX40" s="95" t="s">
        <v>65</v>
      </c>
      <c r="CY40" s="14" t="s">
        <v>106</v>
      </c>
      <c r="CZ40" s="116">
        <v>7.3</v>
      </c>
      <c r="DA40" s="2">
        <v>228800.98</v>
      </c>
      <c r="DB40" s="2">
        <f>201119.61+302.48</f>
        <v>201422.09</v>
      </c>
      <c r="DC40" s="15" t="s">
        <v>94</v>
      </c>
      <c r="DD40" s="11"/>
      <c r="DE40" s="112"/>
      <c r="DF40" s="84"/>
      <c r="DG40" s="95" t="s">
        <v>65</v>
      </c>
      <c r="DH40" s="14" t="s">
        <v>106</v>
      </c>
      <c r="DI40" s="132">
        <v>7.3</v>
      </c>
      <c r="DJ40" s="52">
        <f>5102.24+53084.14</f>
        <v>58186.38</v>
      </c>
      <c r="DK40" s="134">
        <f>40700.7+5438.35</f>
        <v>46139.049999999996</v>
      </c>
      <c r="DL40" s="23"/>
      <c r="DM40" s="23"/>
    </row>
    <row r="41" spans="1:117" ht="12" customHeight="1">
      <c r="A41" s="6">
        <v>35</v>
      </c>
      <c r="B41" s="6" t="s">
        <v>66</v>
      </c>
      <c r="C41" s="8">
        <v>17</v>
      </c>
      <c r="D41" s="52">
        <v>322.2</v>
      </c>
      <c r="E41" s="44">
        <v>1955</v>
      </c>
      <c r="F41" s="45">
        <v>2</v>
      </c>
      <c r="G41" s="45">
        <v>2</v>
      </c>
      <c r="H41" s="45"/>
      <c r="I41" s="45">
        <v>8</v>
      </c>
      <c r="J41" s="45"/>
      <c r="K41" s="46">
        <v>56.4</v>
      </c>
      <c r="L41" s="47">
        <v>154</v>
      </c>
      <c r="M41" s="48">
        <v>0</v>
      </c>
      <c r="N41" s="48">
        <v>0</v>
      </c>
      <c r="O41" s="48">
        <v>189</v>
      </c>
      <c r="P41" s="45"/>
      <c r="Q41" s="49" t="s">
        <v>46</v>
      </c>
      <c r="R41" s="6">
        <v>35</v>
      </c>
      <c r="S41" s="95" t="s">
        <v>66</v>
      </c>
      <c r="T41" s="14">
        <v>17</v>
      </c>
      <c r="U41" s="50" t="s">
        <v>47</v>
      </c>
      <c r="V41" s="48">
        <v>399</v>
      </c>
      <c r="W41" s="31">
        <f t="shared" si="5"/>
        <v>-20127.140000000007</v>
      </c>
      <c r="X41" s="3">
        <v>53761.98</v>
      </c>
      <c r="Y41" s="3">
        <v>33634.84</v>
      </c>
      <c r="Z41" s="104">
        <f t="shared" si="6"/>
        <v>62.5625023483138</v>
      </c>
      <c r="AA41" s="3">
        <f t="shared" si="7"/>
        <v>-68516.85405007242</v>
      </c>
      <c r="AB41" s="3">
        <f t="shared" si="8"/>
        <v>102151.69405007242</v>
      </c>
      <c r="AC41" s="32">
        <f t="shared" si="33"/>
        <v>86569.23224582408</v>
      </c>
      <c r="AD41" s="6">
        <v>35</v>
      </c>
      <c r="AE41" s="95" t="s">
        <v>66</v>
      </c>
      <c r="AF41" s="14">
        <v>17</v>
      </c>
      <c r="AG41" s="2">
        <f t="shared" si="9"/>
        <v>12811.88043432882</v>
      </c>
      <c r="AH41" s="2">
        <f>0.13*1.078</f>
        <v>0.14014000000000001</v>
      </c>
      <c r="AI41" s="30">
        <f t="shared" si="10"/>
        <v>9764.600976949914</v>
      </c>
      <c r="AJ41" s="30">
        <f t="shared" si="11"/>
        <v>2311.279570482028</v>
      </c>
      <c r="AK41" s="2">
        <f t="shared" si="1"/>
        <v>12075.880547431942</v>
      </c>
      <c r="AL41" s="30">
        <f t="shared" si="12"/>
        <v>735.999886896877</v>
      </c>
      <c r="AM41" s="6">
        <v>35</v>
      </c>
      <c r="AN41" s="95" t="s">
        <v>66</v>
      </c>
      <c r="AO41" s="14">
        <v>17</v>
      </c>
      <c r="AP41" s="30">
        <f t="shared" si="2"/>
        <v>40161.60174181448</v>
      </c>
      <c r="AQ41" s="2">
        <f>(0.146+0.018)*1.003</f>
        <v>0.16449199999999997</v>
      </c>
      <c r="AR41" s="30">
        <f t="shared" si="13"/>
        <v>21146.68957604877</v>
      </c>
      <c r="AS41" s="30">
        <f t="shared" si="14"/>
        <v>5843.704996609343</v>
      </c>
      <c r="AT41" s="9">
        <v>8295.22</v>
      </c>
      <c r="AU41" s="22">
        <f t="shared" si="15"/>
        <v>287.4704031760788</v>
      </c>
      <c r="AV41" s="6">
        <v>35</v>
      </c>
      <c r="AW41" s="95" t="s">
        <v>66</v>
      </c>
      <c r="AX41" s="14">
        <v>17</v>
      </c>
      <c r="AY41" s="22">
        <f t="shared" si="16"/>
        <v>0</v>
      </c>
      <c r="AZ41" s="10"/>
      <c r="BA41" s="2"/>
      <c r="BB41" s="2"/>
      <c r="BC41" s="2"/>
      <c r="BD41" s="2"/>
      <c r="BE41" s="2"/>
      <c r="BF41" s="6">
        <v>35</v>
      </c>
      <c r="BG41" s="95" t="s">
        <v>66</v>
      </c>
      <c r="BH41" s="14">
        <v>17</v>
      </c>
      <c r="BI41" s="31">
        <f t="shared" si="17"/>
        <v>0.017243151743773437</v>
      </c>
      <c r="BJ41" s="31">
        <f t="shared" si="18"/>
        <v>2723.695753943211</v>
      </c>
      <c r="BK41" s="30">
        <f t="shared" si="19"/>
        <v>766.3251816619697</v>
      </c>
      <c r="BL41" s="106">
        <f t="shared" si="20"/>
        <v>1098.4958303751046</v>
      </c>
      <c r="BM41" s="6">
        <v>35</v>
      </c>
      <c r="BN41" s="95" t="s">
        <v>66</v>
      </c>
      <c r="BO41" s="14">
        <v>17</v>
      </c>
      <c r="BP41" s="30">
        <f t="shared" si="34"/>
        <v>5405.688384579891</v>
      </c>
      <c r="BQ41" s="30">
        <v>4900</v>
      </c>
      <c r="BR41" s="22">
        <f t="shared" si="21"/>
        <v>164.9380355797028</v>
      </c>
      <c r="BS41" s="2"/>
      <c r="BT41" s="2"/>
      <c r="BU41" s="2"/>
      <c r="BV41" s="2"/>
      <c r="BW41" s="6">
        <v>35</v>
      </c>
      <c r="BX41" s="95" t="s">
        <v>66</v>
      </c>
      <c r="BY41" s="14">
        <v>17</v>
      </c>
      <c r="BZ41" s="30">
        <f t="shared" si="22"/>
        <v>43.346361746361744</v>
      </c>
      <c r="CA41" s="2"/>
      <c r="CB41" s="2"/>
      <c r="CC41" s="2"/>
      <c r="CD41" s="2"/>
      <c r="CE41" s="30">
        <f t="shared" si="23"/>
        <v>297.4039872538264</v>
      </c>
      <c r="CF41" s="6">
        <v>35</v>
      </c>
      <c r="CG41" s="95" t="s">
        <v>66</v>
      </c>
      <c r="CH41" s="14">
        <v>17</v>
      </c>
      <c r="CI41" s="46">
        <f t="shared" si="4"/>
        <v>19014.06841680943</v>
      </c>
      <c r="CJ41" s="38">
        <f t="shared" si="24"/>
        <v>0.06207534627758438</v>
      </c>
      <c r="CK41" s="30">
        <f t="shared" si="25"/>
        <v>13536.95159638784</v>
      </c>
      <c r="CL41" s="30">
        <f t="shared" si="26"/>
        <v>3820.2661826434214</v>
      </c>
      <c r="CM41" s="30">
        <f t="shared" si="27"/>
        <v>1656.8506377781682</v>
      </c>
      <c r="CN41" s="6">
        <v>35</v>
      </c>
      <c r="CO41" s="95" t="s">
        <v>66</v>
      </c>
      <c r="CP41" s="14">
        <v>17</v>
      </c>
      <c r="CQ41" s="30">
        <f t="shared" si="28"/>
        <v>6467.660864715695</v>
      </c>
      <c r="CR41" s="22">
        <f t="shared" si="29"/>
        <v>540.1914983798725</v>
      </c>
      <c r="CS41" s="22">
        <f t="shared" si="30"/>
        <v>2086.58452823886</v>
      </c>
      <c r="CT41" s="109">
        <f t="shared" si="31"/>
        <v>81.55637695703473</v>
      </c>
      <c r="CU41" s="126">
        <f>13069.85+4974.72</f>
        <v>18044.57</v>
      </c>
      <c r="CV41" s="127">
        <f>4096.06+11045.3</f>
        <v>15141.36</v>
      </c>
      <c r="CW41" s="84">
        <v>35</v>
      </c>
      <c r="CX41" s="95" t="s">
        <v>66</v>
      </c>
      <c r="CY41" s="14">
        <v>17</v>
      </c>
      <c r="CZ41" s="116">
        <v>0</v>
      </c>
      <c r="DA41" s="2">
        <v>0</v>
      </c>
      <c r="DB41" s="2">
        <v>0</v>
      </c>
      <c r="DC41" s="15"/>
      <c r="DD41" s="11"/>
      <c r="DE41" s="112"/>
      <c r="DF41" s="84">
        <v>35</v>
      </c>
      <c r="DG41" s="95" t="s">
        <v>66</v>
      </c>
      <c r="DH41" s="14">
        <v>17</v>
      </c>
      <c r="DI41" s="132">
        <v>0</v>
      </c>
      <c r="DJ41" s="52">
        <v>0</v>
      </c>
      <c r="DK41" s="134">
        <v>0</v>
      </c>
      <c r="DL41" s="23"/>
      <c r="DM41" s="23"/>
    </row>
    <row r="42" spans="1:117" ht="12" customHeight="1">
      <c r="A42" s="6">
        <v>36</v>
      </c>
      <c r="B42" s="16" t="s">
        <v>67</v>
      </c>
      <c r="C42" s="8">
        <v>156</v>
      </c>
      <c r="D42" s="2">
        <v>117.2</v>
      </c>
      <c r="E42" s="44">
        <v>1962</v>
      </c>
      <c r="F42" s="45">
        <v>1</v>
      </c>
      <c r="G42" s="45">
        <v>1</v>
      </c>
      <c r="H42" s="45"/>
      <c r="I42" s="45">
        <v>2</v>
      </c>
      <c r="J42" s="45"/>
      <c r="K42" s="46">
        <v>0</v>
      </c>
      <c r="L42" s="47">
        <v>29</v>
      </c>
      <c r="M42" s="48">
        <v>0</v>
      </c>
      <c r="N42" s="48">
        <v>876</v>
      </c>
      <c r="O42" s="48">
        <v>567</v>
      </c>
      <c r="P42" s="45"/>
      <c r="Q42" s="49" t="s">
        <v>68</v>
      </c>
      <c r="R42" s="6">
        <v>36</v>
      </c>
      <c r="S42" s="95" t="s">
        <v>67</v>
      </c>
      <c r="T42" s="14">
        <v>156</v>
      </c>
      <c r="U42" s="50" t="s">
        <v>47</v>
      </c>
      <c r="V42" s="48">
        <v>68</v>
      </c>
      <c r="W42" s="31">
        <f t="shared" si="5"/>
        <v>-4909.4000000000015</v>
      </c>
      <c r="X42" s="3">
        <v>16458.36</v>
      </c>
      <c r="Y42" s="3">
        <v>11548.96</v>
      </c>
      <c r="Z42" s="104">
        <f t="shared" si="6"/>
        <v>70.17078250809922</v>
      </c>
      <c r="AA42" s="3">
        <f t="shared" si="7"/>
        <v>-64268.862518259884</v>
      </c>
      <c r="AB42" s="3">
        <f t="shared" si="8"/>
        <v>75817.82251825988</v>
      </c>
      <c r="AC42" s="32">
        <f t="shared" si="33"/>
        <v>64252.39196462702</v>
      </c>
      <c r="AD42" s="6">
        <v>36</v>
      </c>
      <c r="AE42" s="95" t="s">
        <v>67</v>
      </c>
      <c r="AF42" s="14">
        <v>156</v>
      </c>
      <c r="AG42" s="2">
        <f t="shared" si="9"/>
        <v>44348.816888061294</v>
      </c>
      <c r="AH42" s="2">
        <f>0.45*1.078</f>
        <v>0.48510000000000003</v>
      </c>
      <c r="AI42" s="30">
        <f t="shared" si="10"/>
        <v>33800.54184328816</v>
      </c>
      <c r="AJ42" s="30">
        <f t="shared" si="11"/>
        <v>8000.583128591634</v>
      </c>
      <c r="AK42" s="2">
        <f t="shared" si="1"/>
        <v>41801.1249718798</v>
      </c>
      <c r="AL42" s="30">
        <f t="shared" si="12"/>
        <v>2547.691916181497</v>
      </c>
      <c r="AM42" s="6">
        <v>36</v>
      </c>
      <c r="AN42" s="95" t="s">
        <v>67</v>
      </c>
      <c r="AO42" s="14">
        <v>156</v>
      </c>
      <c r="AP42" s="30">
        <f t="shared" si="2"/>
        <v>9322.448869214455</v>
      </c>
      <c r="AQ42" s="2">
        <f>(0.028+0.018)*1.003</f>
        <v>0.04613799999999999</v>
      </c>
      <c r="AR42" s="30">
        <f t="shared" si="13"/>
        <v>5931.3885396234355</v>
      </c>
      <c r="AS42" s="30">
        <f t="shared" si="14"/>
        <v>1639.08798685384</v>
      </c>
      <c r="AT42" s="9">
        <v>0</v>
      </c>
      <c r="AU42" s="22">
        <f t="shared" si="15"/>
        <v>82.90292941349979</v>
      </c>
      <c r="AV42" s="6">
        <v>36</v>
      </c>
      <c r="AW42" s="95" t="s">
        <v>67</v>
      </c>
      <c r="AX42" s="14">
        <v>156</v>
      </c>
      <c r="AY42" s="22">
        <f t="shared" si="16"/>
        <v>0</v>
      </c>
      <c r="AZ42" s="10"/>
      <c r="BA42" s="2"/>
      <c r="BB42" s="2"/>
      <c r="BC42" s="2"/>
      <c r="BD42" s="2"/>
      <c r="BE42" s="2"/>
      <c r="BF42" s="6">
        <v>36</v>
      </c>
      <c r="BG42" s="95" t="s">
        <v>67</v>
      </c>
      <c r="BH42" s="14">
        <v>156</v>
      </c>
      <c r="BI42" s="31">
        <f t="shared" si="17"/>
        <v>0.006272183067567496</v>
      </c>
      <c r="BJ42" s="31">
        <f t="shared" si="18"/>
        <v>990.7422171388715</v>
      </c>
      <c r="BK42" s="30">
        <f t="shared" si="19"/>
        <v>278.75019022589345</v>
      </c>
      <c r="BL42" s="106">
        <f t="shared" si="20"/>
        <v>399.5770059589145</v>
      </c>
      <c r="BM42" s="6">
        <v>36</v>
      </c>
      <c r="BN42" s="95" t="s">
        <v>67</v>
      </c>
      <c r="BO42" s="14">
        <v>156</v>
      </c>
      <c r="BP42" s="30">
        <f t="shared" si="34"/>
        <v>327.0131425039077</v>
      </c>
      <c r="BQ42" s="30"/>
      <c r="BR42" s="22">
        <f t="shared" si="21"/>
        <v>59.996082464125294</v>
      </c>
      <c r="BS42" s="2"/>
      <c r="BT42" s="2"/>
      <c r="BU42" s="2"/>
      <c r="BV42" s="2"/>
      <c r="BW42" s="6">
        <v>36</v>
      </c>
      <c r="BX42" s="95" t="s">
        <v>67</v>
      </c>
      <c r="BY42" s="14">
        <v>156</v>
      </c>
      <c r="BZ42" s="30">
        <f t="shared" si="22"/>
        <v>10.836590436590436</v>
      </c>
      <c r="CA42" s="2">
        <v>148</v>
      </c>
      <c r="CB42" s="2"/>
      <c r="CC42" s="2"/>
      <c r="CD42" s="2"/>
      <c r="CE42" s="30">
        <f t="shared" si="23"/>
        <v>108.18046960319198</v>
      </c>
      <c r="CF42" s="6">
        <v>36</v>
      </c>
      <c r="CG42" s="95" t="s">
        <v>67</v>
      </c>
      <c r="CH42" s="14">
        <v>156</v>
      </c>
      <c r="CI42" s="46">
        <f t="shared" si="4"/>
        <v>6916.352633302498</v>
      </c>
      <c r="CJ42" s="38">
        <f t="shared" si="24"/>
        <v>0.022579859043242986</v>
      </c>
      <c r="CK42" s="30">
        <f t="shared" si="25"/>
        <v>4924.0556396544225</v>
      </c>
      <c r="CL42" s="30">
        <f t="shared" si="26"/>
        <v>1389.6188597324922</v>
      </c>
      <c r="CM42" s="30">
        <f t="shared" si="27"/>
        <v>602.6781339155845</v>
      </c>
      <c r="CN42" s="6">
        <v>36</v>
      </c>
      <c r="CO42" s="95" t="s">
        <v>67</v>
      </c>
      <c r="CP42" s="14">
        <v>156</v>
      </c>
      <c r="CQ42" s="30">
        <f t="shared" si="28"/>
        <v>2352.606621181501</v>
      </c>
      <c r="CR42" s="22">
        <f t="shared" si="29"/>
        <v>196.49423839267868</v>
      </c>
      <c r="CS42" s="22">
        <f t="shared" si="30"/>
        <v>758.9935031334401</v>
      </c>
      <c r="CT42" s="109">
        <f t="shared" si="31"/>
        <v>29.66606883725782</v>
      </c>
      <c r="CU42" s="126">
        <f>4603.64+1809.6</f>
        <v>6413.24</v>
      </c>
      <c r="CV42" s="127">
        <f>760.08+3689.33</f>
        <v>4449.41</v>
      </c>
      <c r="CW42" s="84">
        <v>36</v>
      </c>
      <c r="CX42" s="95" t="s">
        <v>67</v>
      </c>
      <c r="CY42" s="14">
        <v>156</v>
      </c>
      <c r="CZ42" s="116">
        <v>0</v>
      </c>
      <c r="DA42" s="2">
        <v>0</v>
      </c>
      <c r="DB42" s="2">
        <v>0</v>
      </c>
      <c r="DC42" s="15"/>
      <c r="DD42" s="11"/>
      <c r="DE42" s="112"/>
      <c r="DF42" s="84">
        <v>36</v>
      </c>
      <c r="DG42" s="95" t="s">
        <v>67</v>
      </c>
      <c r="DH42" s="14">
        <v>156</v>
      </c>
      <c r="DI42" s="132">
        <v>0</v>
      </c>
      <c r="DJ42" s="52">
        <v>0</v>
      </c>
      <c r="DK42" s="134">
        <v>0</v>
      </c>
      <c r="DL42" s="23"/>
      <c r="DM42" s="23"/>
    </row>
    <row r="43" spans="1:117" ht="12" customHeight="1">
      <c r="A43" s="6">
        <v>37</v>
      </c>
      <c r="B43" s="6" t="s">
        <v>69</v>
      </c>
      <c r="C43" s="8">
        <v>1</v>
      </c>
      <c r="D43" s="52">
        <v>4536.6</v>
      </c>
      <c r="E43" s="44">
        <v>1994</v>
      </c>
      <c r="F43" s="45">
        <v>1</v>
      </c>
      <c r="G43" s="45">
        <v>14</v>
      </c>
      <c r="H43" s="45">
        <v>2</v>
      </c>
      <c r="I43" s="45">
        <v>93</v>
      </c>
      <c r="J43" s="45">
        <v>93</v>
      </c>
      <c r="K43" s="46">
        <v>708.2</v>
      </c>
      <c r="L43" s="47">
        <v>827</v>
      </c>
      <c r="M43" s="48">
        <v>0</v>
      </c>
      <c r="N43" s="48">
        <v>801</v>
      </c>
      <c r="O43" s="48">
        <v>200</v>
      </c>
      <c r="P43" s="45"/>
      <c r="Q43" s="49" t="s">
        <v>43</v>
      </c>
      <c r="R43" s="6">
        <v>37</v>
      </c>
      <c r="S43" s="95" t="s">
        <v>69</v>
      </c>
      <c r="T43" s="14">
        <v>1</v>
      </c>
      <c r="U43" s="50" t="s">
        <v>44</v>
      </c>
      <c r="V43" s="48">
        <v>526</v>
      </c>
      <c r="W43" s="31">
        <f t="shared" si="5"/>
        <v>-35088.779999999795</v>
      </c>
      <c r="X43" s="3">
        <v>1417270.15</v>
      </c>
      <c r="Y43" s="3">
        <v>1382181.37</v>
      </c>
      <c r="Z43" s="104">
        <f t="shared" si="6"/>
        <v>97.52419960301853</v>
      </c>
      <c r="AA43" s="3">
        <f t="shared" si="7"/>
        <v>60503.463631591294</v>
      </c>
      <c r="AB43" s="3">
        <f t="shared" si="8"/>
        <v>1321677.9063684088</v>
      </c>
      <c r="AC43" s="32">
        <f t="shared" si="33"/>
        <v>1120066.0223461092</v>
      </c>
      <c r="AD43" s="6">
        <v>37</v>
      </c>
      <c r="AE43" s="95" t="s">
        <v>69</v>
      </c>
      <c r="AF43" s="14">
        <v>1</v>
      </c>
      <c r="AG43" s="2">
        <f t="shared" si="9"/>
        <v>116292.45317313852</v>
      </c>
      <c r="AH43" s="2">
        <f>1.18*1.078</f>
        <v>1.27204</v>
      </c>
      <c r="AI43" s="30">
        <f t="shared" si="10"/>
        <v>88632.5319446223</v>
      </c>
      <c r="AJ43" s="30">
        <f t="shared" si="11"/>
        <v>20979.306870529173</v>
      </c>
      <c r="AK43" s="2">
        <f t="shared" si="1"/>
        <v>109611.83881515148</v>
      </c>
      <c r="AL43" s="30">
        <f t="shared" si="12"/>
        <v>6680.614357987037</v>
      </c>
      <c r="AM43" s="6">
        <v>37</v>
      </c>
      <c r="AN43" s="95" t="s">
        <v>69</v>
      </c>
      <c r="AO43" s="14">
        <v>1</v>
      </c>
      <c r="AP43" s="30">
        <f t="shared" si="2"/>
        <v>352608.391414855</v>
      </c>
      <c r="AQ43" s="2">
        <f>(1.016+0.018)*1.003</f>
        <v>1.037102</v>
      </c>
      <c r="AR43" s="30">
        <f t="shared" si="13"/>
        <v>133327.29891240507</v>
      </c>
      <c r="AS43" s="30">
        <f t="shared" si="14"/>
        <v>36843.8473566711</v>
      </c>
      <c r="AT43" s="9">
        <v>26888.19</v>
      </c>
      <c r="AU43" s="22">
        <f t="shared" si="15"/>
        <v>2024.5372918180562</v>
      </c>
      <c r="AV43" s="6">
        <v>37</v>
      </c>
      <c r="AW43" s="95" t="s">
        <v>69</v>
      </c>
      <c r="AX43" s="14">
        <v>1</v>
      </c>
      <c r="AY43" s="22">
        <f t="shared" si="16"/>
        <v>88917.86</v>
      </c>
      <c r="AZ43" s="10"/>
      <c r="BA43" s="2">
        <v>31680.11</v>
      </c>
      <c r="BB43" s="2"/>
      <c r="BC43" s="2">
        <v>57237.75</v>
      </c>
      <c r="BD43" s="2"/>
      <c r="BE43" s="2"/>
      <c r="BF43" s="6">
        <v>37</v>
      </c>
      <c r="BG43" s="95" t="s">
        <v>69</v>
      </c>
      <c r="BH43" s="14">
        <v>1</v>
      </c>
      <c r="BI43" s="31">
        <f t="shared" si="17"/>
        <v>0.24278486095841897</v>
      </c>
      <c r="BJ43" s="31">
        <f t="shared" si="18"/>
        <v>38349.839097885706</v>
      </c>
      <c r="BK43" s="30">
        <f t="shared" si="19"/>
        <v>10789.915639750754</v>
      </c>
      <c r="BL43" s="106">
        <f t="shared" si="20"/>
        <v>15466.903116324333</v>
      </c>
      <c r="BM43" s="6">
        <v>37</v>
      </c>
      <c r="BN43" s="95" t="s">
        <v>69</v>
      </c>
      <c r="BO43" s="14">
        <v>1</v>
      </c>
      <c r="BP43" s="30">
        <f t="shared" si="34"/>
        <v>254247.0094135198</v>
      </c>
      <c r="BQ43" s="30"/>
      <c r="BR43" s="22">
        <f t="shared" si="21"/>
        <v>2322.3398268494097</v>
      </c>
      <c r="BS43" s="2">
        <f>28000/37*2</f>
        <v>1513.5135135135135</v>
      </c>
      <c r="BT43" s="2">
        <f>151689.01/37*2</f>
        <v>8199.405945945946</v>
      </c>
      <c r="BU43" s="2">
        <f>40499.84/37*2</f>
        <v>2189.1805405405403</v>
      </c>
      <c r="BV43" s="2">
        <f>4353627.16/37*2</f>
        <v>235331.19783783786</v>
      </c>
      <c r="BW43" s="6">
        <v>37</v>
      </c>
      <c r="BX43" s="95" t="s">
        <v>69</v>
      </c>
      <c r="BY43" s="14">
        <v>1</v>
      </c>
      <c r="BZ43" s="30">
        <f t="shared" si="22"/>
        <v>503.90145530145526</v>
      </c>
      <c r="CA43" s="2"/>
      <c r="CB43" s="2"/>
      <c r="CC43" s="2"/>
      <c r="CD43" s="2"/>
      <c r="CE43" s="30">
        <f t="shared" si="23"/>
        <v>4187.470293531064</v>
      </c>
      <c r="CF43" s="6">
        <v>37</v>
      </c>
      <c r="CG43" s="95" t="s">
        <v>69</v>
      </c>
      <c r="CH43" s="14">
        <v>1</v>
      </c>
      <c r="CI43" s="46">
        <f t="shared" si="4"/>
        <v>267719.4996266221</v>
      </c>
      <c r="CJ43" s="38">
        <f t="shared" si="24"/>
        <v>0.8740254994503083</v>
      </c>
      <c r="CK43" s="30">
        <f t="shared" si="25"/>
        <v>190601.28681617964</v>
      </c>
      <c r="CL43" s="30">
        <f t="shared" si="26"/>
        <v>53789.6324152084</v>
      </c>
      <c r="CM43" s="30">
        <f t="shared" si="27"/>
        <v>23328.580395234134</v>
      </c>
      <c r="CN43" s="6">
        <v>37</v>
      </c>
      <c r="CO43" s="95" t="s">
        <v>69</v>
      </c>
      <c r="CP43" s="14">
        <v>1</v>
      </c>
      <c r="CQ43" s="30">
        <f t="shared" si="28"/>
        <v>91065.14673764503</v>
      </c>
      <c r="CR43" s="22">
        <f t="shared" si="29"/>
        <v>7605.936534916605</v>
      </c>
      <c r="CS43" s="22">
        <f t="shared" si="30"/>
        <v>29379.265582893895</v>
      </c>
      <c r="CT43" s="109">
        <f t="shared" si="31"/>
        <v>1148.319862517951</v>
      </c>
      <c r="CU43" s="126">
        <f>178165.16+70044.48</f>
        <v>248209.64</v>
      </c>
      <c r="CV43" s="127">
        <f>60883.33+176026.28</f>
        <v>236909.61</v>
      </c>
      <c r="CW43" s="84">
        <v>37</v>
      </c>
      <c r="CX43" s="95" t="s">
        <v>69</v>
      </c>
      <c r="CY43" s="14">
        <v>1</v>
      </c>
      <c r="CZ43" s="116">
        <v>7.3</v>
      </c>
      <c r="DA43" s="2">
        <v>243119.2</v>
      </c>
      <c r="DB43" s="2">
        <f>212748.41+635.16</f>
        <v>213383.57</v>
      </c>
      <c r="DC43" s="15"/>
      <c r="DD43" s="11"/>
      <c r="DE43" s="112"/>
      <c r="DF43" s="84">
        <v>37</v>
      </c>
      <c r="DG43" s="95" t="s">
        <v>69</v>
      </c>
      <c r="DH43" s="14">
        <v>1</v>
      </c>
      <c r="DI43" s="132">
        <v>7.3</v>
      </c>
      <c r="DJ43" s="52">
        <f>2051.17+21818.24</f>
        <v>23869.410000000003</v>
      </c>
      <c r="DK43" s="134">
        <f>18107.57+2217.63</f>
        <v>20325.2</v>
      </c>
      <c r="DL43" s="23"/>
      <c r="DM43" s="23"/>
    </row>
    <row r="44" spans="1:117" ht="12" customHeight="1">
      <c r="A44" s="6">
        <v>38</v>
      </c>
      <c r="B44" s="6" t="s">
        <v>69</v>
      </c>
      <c r="C44" s="14" t="s">
        <v>70</v>
      </c>
      <c r="D44" s="52">
        <v>4685.9</v>
      </c>
      <c r="E44" s="44">
        <v>1999</v>
      </c>
      <c r="F44" s="45">
        <v>1</v>
      </c>
      <c r="G44" s="45">
        <v>14</v>
      </c>
      <c r="H44" s="45">
        <v>2</v>
      </c>
      <c r="I44" s="45">
        <v>96</v>
      </c>
      <c r="J44" s="45">
        <v>96</v>
      </c>
      <c r="K44" s="46">
        <v>617.6</v>
      </c>
      <c r="L44" s="47">
        <v>2764</v>
      </c>
      <c r="M44" s="48">
        <v>714</v>
      </c>
      <c r="N44" s="48">
        <v>5281</v>
      </c>
      <c r="O44" s="48">
        <v>1847</v>
      </c>
      <c r="P44" s="45">
        <v>1</v>
      </c>
      <c r="Q44" s="49" t="s">
        <v>46</v>
      </c>
      <c r="R44" s="6">
        <v>38</v>
      </c>
      <c r="S44" s="95" t="s">
        <v>69</v>
      </c>
      <c r="T44" s="14" t="s">
        <v>70</v>
      </c>
      <c r="U44" s="50" t="s">
        <v>44</v>
      </c>
      <c r="V44" s="48">
        <v>1863.4</v>
      </c>
      <c r="W44" s="31">
        <f t="shared" si="5"/>
        <v>-33702.6100000001</v>
      </c>
      <c r="X44" s="3">
        <v>1464111.84</v>
      </c>
      <c r="Y44" s="3">
        <v>1430409.23</v>
      </c>
      <c r="Z44" s="104">
        <f t="shared" si="6"/>
        <v>97.69808500421661</v>
      </c>
      <c r="AA44" s="3">
        <f t="shared" si="7"/>
        <v>-88720.46347533423</v>
      </c>
      <c r="AB44" s="3">
        <f t="shared" si="8"/>
        <v>1519129.6934753342</v>
      </c>
      <c r="AC44" s="32">
        <f t="shared" si="33"/>
        <v>1287398.0453180799</v>
      </c>
      <c r="AD44" s="6">
        <v>38</v>
      </c>
      <c r="AE44" s="95" t="s">
        <v>69</v>
      </c>
      <c r="AF44" s="14" t="s">
        <v>70</v>
      </c>
      <c r="AG44" s="2">
        <f t="shared" si="9"/>
        <v>200719.46013781815</v>
      </c>
      <c r="AH44" s="2">
        <f>(6.11/3)*1.078</f>
        <v>2.195526666666667</v>
      </c>
      <c r="AI44" s="30">
        <f t="shared" si="10"/>
        <v>152978.74863888198</v>
      </c>
      <c r="AJ44" s="30">
        <f t="shared" si="11"/>
        <v>36210.046604218434</v>
      </c>
      <c r="AK44" s="2">
        <f t="shared" si="1"/>
        <v>189188.7952431004</v>
      </c>
      <c r="AL44" s="30">
        <f t="shared" si="12"/>
        <v>11530.66489471774</v>
      </c>
      <c r="AM44" s="6">
        <v>38</v>
      </c>
      <c r="AN44" s="95" t="s">
        <v>69</v>
      </c>
      <c r="AO44" s="14" t="s">
        <v>70</v>
      </c>
      <c r="AP44" s="30">
        <f t="shared" si="2"/>
        <v>415220.2938350805</v>
      </c>
      <c r="AQ44" s="2">
        <f>((4.149+0.02)/3)*1.003</f>
        <v>1.3938356666666665</v>
      </c>
      <c r="AR44" s="30">
        <f t="shared" si="13"/>
        <v>179188.1074035515</v>
      </c>
      <c r="AS44" s="30">
        <f t="shared" si="14"/>
        <v>49517.08563183811</v>
      </c>
      <c r="AT44" s="9">
        <v>52154.59</v>
      </c>
      <c r="AU44" s="22">
        <f t="shared" si="15"/>
        <v>2601.4608006002113</v>
      </c>
      <c r="AV44" s="6">
        <v>38</v>
      </c>
      <c r="AW44" s="95" t="s">
        <v>69</v>
      </c>
      <c r="AX44" s="14" t="s">
        <v>70</v>
      </c>
      <c r="AY44" s="22">
        <f t="shared" si="16"/>
        <v>65026.18</v>
      </c>
      <c r="AZ44" s="10"/>
      <c r="BA44" s="2"/>
      <c r="BB44" s="2"/>
      <c r="BC44" s="2">
        <v>65026.18</v>
      </c>
      <c r="BD44" s="2"/>
      <c r="BE44" s="2"/>
      <c r="BF44" s="6">
        <v>38</v>
      </c>
      <c r="BG44" s="95" t="s">
        <v>69</v>
      </c>
      <c r="BH44" s="14" t="s">
        <v>70</v>
      </c>
      <c r="BI44" s="31">
        <f t="shared" si="17"/>
        <v>0.25077493716991917</v>
      </c>
      <c r="BJ44" s="31">
        <f t="shared" si="18"/>
        <v>39611.93647859247</v>
      </c>
      <c r="BK44" s="30">
        <f t="shared" si="19"/>
        <v>11145.012938391757</v>
      </c>
      <c r="BL44" s="106">
        <f t="shared" si="20"/>
        <v>15975.920582106462</v>
      </c>
      <c r="BM44" s="6">
        <v>38</v>
      </c>
      <c r="BN44" s="95" t="s">
        <v>69</v>
      </c>
      <c r="BO44" s="14" t="s">
        <v>70</v>
      </c>
      <c r="BP44" s="30">
        <f t="shared" si="34"/>
        <v>261477.5028591034</v>
      </c>
      <c r="BQ44" s="30">
        <v>7000</v>
      </c>
      <c r="BR44" s="22">
        <f t="shared" si="21"/>
        <v>2398.7682834355346</v>
      </c>
      <c r="BS44" s="2">
        <f>28000/37*2</f>
        <v>1513.5135135135135</v>
      </c>
      <c r="BT44" s="2">
        <f>151689.01/37*2</f>
        <v>8199.405945945946</v>
      </c>
      <c r="BU44" s="2">
        <f>40499.84/37*2</f>
        <v>2189.1805405405403</v>
      </c>
      <c r="BV44" s="2">
        <f>4353627.16/37*2</f>
        <v>235331.19783783786</v>
      </c>
      <c r="BW44" s="6">
        <v>38</v>
      </c>
      <c r="BX44" s="95" t="s">
        <v>69</v>
      </c>
      <c r="BY44" s="14" t="s">
        <v>70</v>
      </c>
      <c r="BZ44" s="30">
        <f t="shared" si="22"/>
        <v>520.156340956341</v>
      </c>
      <c r="CA44" s="2"/>
      <c r="CB44" s="2"/>
      <c r="CC44" s="2"/>
      <c r="CD44" s="2"/>
      <c r="CE44" s="30">
        <f t="shared" si="23"/>
        <v>4325.280396873697</v>
      </c>
      <c r="CF44" s="6">
        <v>38</v>
      </c>
      <c r="CG44" s="95" t="s">
        <v>69</v>
      </c>
      <c r="CH44" s="14" t="s">
        <v>70</v>
      </c>
      <c r="CI44" s="46">
        <f t="shared" si="4"/>
        <v>276530.17751187866</v>
      </c>
      <c r="CJ44" s="38">
        <f t="shared" si="24"/>
        <v>0.902789773811709</v>
      </c>
      <c r="CK44" s="30">
        <f t="shared" si="25"/>
        <v>196873.99592027863</v>
      </c>
      <c r="CL44" s="30">
        <f t="shared" si="26"/>
        <v>55559.85507526011</v>
      </c>
      <c r="CM44" s="30">
        <f t="shared" si="27"/>
        <v>24096.326516339905</v>
      </c>
      <c r="CN44" s="6">
        <v>38</v>
      </c>
      <c r="CO44" s="95" t="s">
        <v>69</v>
      </c>
      <c r="CP44" s="14" t="s">
        <v>70</v>
      </c>
      <c r="CQ44" s="30">
        <f t="shared" si="28"/>
        <v>94062.11063305796</v>
      </c>
      <c r="CR44" s="22">
        <f t="shared" si="29"/>
        <v>7856.248734507277</v>
      </c>
      <c r="CS44" s="22">
        <f t="shared" si="30"/>
        <v>30346.140412397497</v>
      </c>
      <c r="CT44" s="109">
        <f t="shared" si="31"/>
        <v>1186.111194236403</v>
      </c>
      <c r="CU44" s="126">
        <f>184062.4+72350.52</f>
        <v>256412.91999999998</v>
      </c>
      <c r="CV44" s="127">
        <f>61845.83+176548.05</f>
        <v>238393.88</v>
      </c>
      <c r="CW44" s="84">
        <v>38</v>
      </c>
      <c r="CX44" s="95" t="s">
        <v>69</v>
      </c>
      <c r="CY44" s="14" t="s">
        <v>70</v>
      </c>
      <c r="CZ44" s="116">
        <v>7.3</v>
      </c>
      <c r="DA44" s="2">
        <v>261065.52</v>
      </c>
      <c r="DB44" s="2">
        <f>224976.57+1290.09</f>
        <v>226266.66</v>
      </c>
      <c r="DC44" s="15"/>
      <c r="DD44" s="11"/>
      <c r="DE44" s="112"/>
      <c r="DF44" s="84">
        <v>38</v>
      </c>
      <c r="DG44" s="95" t="s">
        <v>69</v>
      </c>
      <c r="DH44" s="14" t="s">
        <v>70</v>
      </c>
      <c r="DI44" s="132">
        <v>7.3</v>
      </c>
      <c r="DJ44" s="52">
        <f>1250.52+12591.04</f>
        <v>13841.560000000001</v>
      </c>
      <c r="DK44" s="134">
        <f>9663.31+1587.13</f>
        <v>11250.439999999999</v>
      </c>
      <c r="DL44" s="23"/>
      <c r="DM44" s="23"/>
    </row>
    <row r="45" spans="1:117" ht="11.25" customHeight="1">
      <c r="A45" s="6"/>
      <c r="B45" s="6" t="s">
        <v>69</v>
      </c>
      <c r="C45" s="14" t="s">
        <v>71</v>
      </c>
      <c r="D45" s="2">
        <v>4844.4</v>
      </c>
      <c r="E45" s="44">
        <v>1989</v>
      </c>
      <c r="F45" s="45">
        <v>1</v>
      </c>
      <c r="G45" s="45">
        <v>14</v>
      </c>
      <c r="H45" s="45">
        <v>2</v>
      </c>
      <c r="I45" s="45">
        <v>96</v>
      </c>
      <c r="J45" s="45">
        <v>96</v>
      </c>
      <c r="K45" s="46">
        <v>617.6</v>
      </c>
      <c r="L45" s="47"/>
      <c r="M45" s="48"/>
      <c r="N45" s="48"/>
      <c r="O45" s="48"/>
      <c r="P45" s="45">
        <v>1</v>
      </c>
      <c r="Q45" s="49" t="s">
        <v>46</v>
      </c>
      <c r="R45" s="6"/>
      <c r="S45" s="95" t="s">
        <v>69</v>
      </c>
      <c r="T45" s="14" t="s">
        <v>71</v>
      </c>
      <c r="U45" s="50" t="s">
        <v>44</v>
      </c>
      <c r="V45" s="48">
        <v>0</v>
      </c>
      <c r="W45" s="31">
        <f t="shared" si="5"/>
        <v>-76833.15999999992</v>
      </c>
      <c r="X45" s="3">
        <v>1588811.5</v>
      </c>
      <c r="Y45" s="3">
        <v>1511978.34</v>
      </c>
      <c r="Z45" s="104">
        <f t="shared" si="6"/>
        <v>95.16411103519833</v>
      </c>
      <c r="AA45" s="3">
        <f t="shared" si="7"/>
        <v>49258.35832804348</v>
      </c>
      <c r="AB45" s="3">
        <f t="shared" si="8"/>
        <v>1462719.9816719566</v>
      </c>
      <c r="AC45" s="32">
        <f t="shared" si="33"/>
        <v>1239593.204806743</v>
      </c>
      <c r="AD45" s="6"/>
      <c r="AE45" s="95" t="s">
        <v>69</v>
      </c>
      <c r="AF45" s="14" t="s">
        <v>71</v>
      </c>
      <c r="AG45" s="2">
        <f t="shared" si="9"/>
        <v>200719.46013781815</v>
      </c>
      <c r="AH45" s="2">
        <f>(6.11/3)*1.078</f>
        <v>2.195526666666667</v>
      </c>
      <c r="AI45" s="30">
        <f t="shared" si="10"/>
        <v>152978.74863888198</v>
      </c>
      <c r="AJ45" s="30">
        <f t="shared" si="11"/>
        <v>36210.046604218434</v>
      </c>
      <c r="AK45" s="2">
        <f t="shared" si="1"/>
        <v>189188.7952431004</v>
      </c>
      <c r="AL45" s="30">
        <f t="shared" si="12"/>
        <v>11530.66489471774</v>
      </c>
      <c r="AM45" s="6"/>
      <c r="AN45" s="95" t="s">
        <v>69</v>
      </c>
      <c r="AO45" s="14" t="s">
        <v>71</v>
      </c>
      <c r="AP45" s="30">
        <f t="shared" si="2"/>
        <v>358216.46267288196</v>
      </c>
      <c r="AQ45" s="2">
        <f>((4.149+0.02)/3)*1.003</f>
        <v>1.3938356666666665</v>
      </c>
      <c r="AR45" s="30">
        <f t="shared" si="13"/>
        <v>179188.1074035515</v>
      </c>
      <c r="AS45" s="30">
        <f t="shared" si="14"/>
        <v>49517.08563183811</v>
      </c>
      <c r="AT45" s="9">
        <v>52154.59</v>
      </c>
      <c r="AU45" s="22">
        <f t="shared" si="15"/>
        <v>2614.878392567145</v>
      </c>
      <c r="AV45" s="6"/>
      <c r="AW45" s="95" t="s">
        <v>69</v>
      </c>
      <c r="AX45" s="14" t="s">
        <v>71</v>
      </c>
      <c r="AY45" s="22">
        <f t="shared" si="16"/>
        <v>5751.7</v>
      </c>
      <c r="AZ45" s="10">
        <v>1392.5</v>
      </c>
      <c r="BA45" s="2"/>
      <c r="BB45" s="2"/>
      <c r="BC45" s="2">
        <v>4359.2</v>
      </c>
      <c r="BD45" s="2"/>
      <c r="BE45" s="2"/>
      <c r="BF45" s="6"/>
      <c r="BG45" s="95" t="s">
        <v>69</v>
      </c>
      <c r="BH45" s="14" t="s">
        <v>71</v>
      </c>
      <c r="BI45" s="31">
        <f t="shared" si="17"/>
        <v>0.25925736904883934</v>
      </c>
      <c r="BJ45" s="31">
        <f t="shared" si="18"/>
        <v>40951.805432658264</v>
      </c>
      <c r="BK45" s="30">
        <f t="shared" si="19"/>
        <v>11521.991651282577</v>
      </c>
      <c r="BL45" s="106">
        <f t="shared" si="20"/>
        <v>16516.304160984346</v>
      </c>
      <c r="BM45" s="6"/>
      <c r="BN45" s="95" t="s">
        <v>69</v>
      </c>
      <c r="BO45" s="14" t="s">
        <v>71</v>
      </c>
      <c r="BP45" s="30">
        <f t="shared" si="34"/>
        <v>256808.94299137875</v>
      </c>
      <c r="BQ45" s="30">
        <v>2104</v>
      </c>
      <c r="BR45" s="22">
        <f t="shared" si="21"/>
        <v>2479.9063301127007</v>
      </c>
      <c r="BS45" s="2">
        <f>28000/37*2</f>
        <v>1513.5135135135135</v>
      </c>
      <c r="BT45" s="2">
        <f>151689.01/37*2</f>
        <v>8199.405945945946</v>
      </c>
      <c r="BU45" s="2">
        <f>40499.84/37*2</f>
        <v>2189.1805405405403</v>
      </c>
      <c r="BV45" s="2">
        <f>4353627.16/37*2</f>
        <v>235331.19783783786</v>
      </c>
      <c r="BW45" s="6"/>
      <c r="BX45" s="95" t="s">
        <v>69</v>
      </c>
      <c r="BY45" s="14" t="s">
        <v>71</v>
      </c>
      <c r="BZ45" s="30">
        <f t="shared" si="22"/>
        <v>520.156340956341</v>
      </c>
      <c r="CA45" s="2"/>
      <c r="CB45" s="2"/>
      <c r="CC45" s="2"/>
      <c r="CD45" s="2"/>
      <c r="CE45" s="30">
        <f t="shared" si="23"/>
        <v>4471.58248247187</v>
      </c>
      <c r="CF45" s="6"/>
      <c r="CG45" s="95" t="s">
        <v>69</v>
      </c>
      <c r="CH45" s="14" t="s">
        <v>71</v>
      </c>
      <c r="CI45" s="46">
        <f t="shared" si="4"/>
        <v>285883.7772761999</v>
      </c>
      <c r="CJ45" s="38">
        <f t="shared" si="24"/>
        <v>0.9333265285758218</v>
      </c>
      <c r="CK45" s="30">
        <f t="shared" si="25"/>
        <v>203533.2349892652</v>
      </c>
      <c r="CL45" s="30">
        <f t="shared" si="26"/>
        <v>57439.160444437584</v>
      </c>
      <c r="CM45" s="30">
        <f t="shared" si="27"/>
        <v>24911.381842497074</v>
      </c>
      <c r="CN45" s="6"/>
      <c r="CO45" s="95" t="s">
        <v>69</v>
      </c>
      <c r="CP45" s="14" t="s">
        <v>71</v>
      </c>
      <c r="CQ45" s="30">
        <f t="shared" si="28"/>
        <v>97243.7501335466</v>
      </c>
      <c r="CR45" s="22">
        <f t="shared" si="29"/>
        <v>8121.985396497375</v>
      </c>
      <c r="CS45" s="22">
        <f t="shared" si="30"/>
        <v>31372.59493668632</v>
      </c>
      <c r="CT45" s="109">
        <f t="shared" si="31"/>
        <v>1226.231261733889</v>
      </c>
      <c r="CU45" s="126">
        <f>190199.6+74773.12</f>
        <v>264972.72</v>
      </c>
      <c r="CV45" s="127">
        <f>64866.94+186408.54</f>
        <v>251275.48</v>
      </c>
      <c r="CW45" s="84"/>
      <c r="CX45" s="95" t="s">
        <v>69</v>
      </c>
      <c r="CY45" s="14" t="s">
        <v>71</v>
      </c>
      <c r="CZ45" s="116">
        <v>7.3</v>
      </c>
      <c r="DA45" s="2">
        <v>231776.51</v>
      </c>
      <c r="DB45" s="2">
        <f>203764.2-5.34</f>
        <v>203758.86000000002</v>
      </c>
      <c r="DC45" s="15"/>
      <c r="DD45" s="11"/>
      <c r="DE45" s="112"/>
      <c r="DF45" s="84"/>
      <c r="DG45" s="95" t="s">
        <v>69</v>
      </c>
      <c r="DH45" s="14" t="s">
        <v>71</v>
      </c>
      <c r="DI45" s="132">
        <v>7.3</v>
      </c>
      <c r="DJ45" s="52">
        <f>4749.08+49472.05</f>
        <v>54221.130000000005</v>
      </c>
      <c r="DK45" s="134">
        <f>41169.2+5387.95</f>
        <v>46557.149999999994</v>
      </c>
      <c r="DL45" s="23"/>
      <c r="DM45" s="23"/>
    </row>
    <row r="46" spans="1:117" ht="11.25" customHeight="1">
      <c r="A46" s="6"/>
      <c r="B46" s="6" t="s">
        <v>69</v>
      </c>
      <c r="C46" s="14" t="s">
        <v>72</v>
      </c>
      <c r="D46" s="2">
        <v>4823.4</v>
      </c>
      <c r="E46" s="44">
        <v>1989</v>
      </c>
      <c r="F46" s="45">
        <v>1</v>
      </c>
      <c r="G46" s="45">
        <v>14</v>
      </c>
      <c r="H46" s="45">
        <v>2</v>
      </c>
      <c r="I46" s="45">
        <v>96</v>
      </c>
      <c r="J46" s="45">
        <v>96</v>
      </c>
      <c r="K46" s="46">
        <v>617.6</v>
      </c>
      <c r="L46" s="47"/>
      <c r="M46" s="48"/>
      <c r="N46" s="48"/>
      <c r="O46" s="48"/>
      <c r="P46" s="45"/>
      <c r="Q46" s="49" t="s">
        <v>46</v>
      </c>
      <c r="R46" s="6"/>
      <c r="S46" s="95" t="s">
        <v>69</v>
      </c>
      <c r="T46" s="14" t="s">
        <v>72</v>
      </c>
      <c r="U46" s="50" t="s">
        <v>44</v>
      </c>
      <c r="V46" s="48">
        <v>0</v>
      </c>
      <c r="W46" s="31">
        <f t="shared" si="5"/>
        <v>39293.30000000005</v>
      </c>
      <c r="X46" s="3">
        <v>1582606.05</v>
      </c>
      <c r="Y46" s="3">
        <v>1621899.35</v>
      </c>
      <c r="Z46" s="104">
        <f t="shared" si="6"/>
        <v>102.48282255713606</v>
      </c>
      <c r="AA46" s="3">
        <f t="shared" si="7"/>
        <v>171007.70976355812</v>
      </c>
      <c r="AB46" s="3">
        <f t="shared" si="8"/>
        <v>1450891.640236442</v>
      </c>
      <c r="AC46" s="32">
        <f t="shared" si="33"/>
        <v>1229569.1866410526</v>
      </c>
      <c r="AD46" s="6"/>
      <c r="AE46" s="95" t="s">
        <v>69</v>
      </c>
      <c r="AF46" s="14" t="s">
        <v>72</v>
      </c>
      <c r="AG46" s="2">
        <f t="shared" si="9"/>
        <v>200719.46013781815</v>
      </c>
      <c r="AH46" s="2">
        <f>(6.11/3)*1.078</f>
        <v>2.195526666666667</v>
      </c>
      <c r="AI46" s="30">
        <f t="shared" si="10"/>
        <v>152978.74863888198</v>
      </c>
      <c r="AJ46" s="30">
        <f t="shared" si="11"/>
        <v>36210.046604218434</v>
      </c>
      <c r="AK46" s="2">
        <f t="shared" si="1"/>
        <v>189188.7952431004</v>
      </c>
      <c r="AL46" s="30">
        <f t="shared" si="12"/>
        <v>11530.66489471774</v>
      </c>
      <c r="AM46" s="6"/>
      <c r="AN46" s="95" t="s">
        <v>69</v>
      </c>
      <c r="AO46" s="14" t="s">
        <v>72</v>
      </c>
      <c r="AP46" s="30">
        <f t="shared" si="2"/>
        <v>352163.9196091985</v>
      </c>
      <c r="AQ46" s="2">
        <f>((4.149+0.02)/3)*1.003</f>
        <v>1.3938356666666665</v>
      </c>
      <c r="AR46" s="30">
        <f t="shared" si="13"/>
        <v>179188.1074035515</v>
      </c>
      <c r="AS46" s="30">
        <f t="shared" si="14"/>
        <v>49517.08563183811</v>
      </c>
      <c r="AT46" s="9">
        <v>52154.59</v>
      </c>
      <c r="AU46" s="22">
        <f t="shared" si="15"/>
        <v>2613.1006674484975</v>
      </c>
      <c r="AV46" s="6"/>
      <c r="AW46" s="95" t="s">
        <v>69</v>
      </c>
      <c r="AX46" s="14" t="s">
        <v>72</v>
      </c>
      <c r="AY46" s="22">
        <f t="shared" si="16"/>
        <v>0</v>
      </c>
      <c r="AZ46" s="10"/>
      <c r="BA46" s="2"/>
      <c r="BB46" s="2"/>
      <c r="BC46" s="2"/>
      <c r="BD46" s="2"/>
      <c r="BE46" s="2"/>
      <c r="BF46" s="6"/>
      <c r="BG46" s="95" t="s">
        <v>69</v>
      </c>
      <c r="BH46" s="14" t="s">
        <v>72</v>
      </c>
      <c r="BI46" s="31">
        <f t="shared" si="17"/>
        <v>0.2581335137210329</v>
      </c>
      <c r="BJ46" s="31">
        <f t="shared" si="18"/>
        <v>40774.2833630344</v>
      </c>
      <c r="BK46" s="30">
        <f t="shared" si="19"/>
        <v>11472.044944842784</v>
      </c>
      <c r="BL46" s="106">
        <f t="shared" si="20"/>
        <v>16444.707598483175</v>
      </c>
      <c r="BM46" s="6"/>
      <c r="BN46" s="95" t="s">
        <v>69</v>
      </c>
      <c r="BO46" s="14" t="s">
        <v>72</v>
      </c>
      <c r="BP46" s="30">
        <f t="shared" si="34"/>
        <v>254674.80896754417</v>
      </c>
      <c r="BQ46" s="30"/>
      <c r="BR46" s="22">
        <f t="shared" si="21"/>
        <v>2469.1561788179342</v>
      </c>
      <c r="BS46" s="2">
        <f>28000/37*2</f>
        <v>1513.5135135135135</v>
      </c>
      <c r="BT46" s="2">
        <f>151689.01/37*2</f>
        <v>8199.405945945946</v>
      </c>
      <c r="BU46" s="2">
        <f>40499.84/37*2</f>
        <v>2189.1805405405403</v>
      </c>
      <c r="BV46" s="2">
        <f>4353627.16/37*2</f>
        <v>235331.19783783786</v>
      </c>
      <c r="BW46" s="6"/>
      <c r="BX46" s="95" t="s">
        <v>69</v>
      </c>
      <c r="BY46" s="14" t="s">
        <v>72</v>
      </c>
      <c r="BZ46" s="30">
        <f t="shared" si="22"/>
        <v>520.156340956341</v>
      </c>
      <c r="CA46" s="2"/>
      <c r="CB46" s="2"/>
      <c r="CC46" s="2"/>
      <c r="CD46" s="2"/>
      <c r="CE46" s="30">
        <f t="shared" si="23"/>
        <v>4452.198609932049</v>
      </c>
      <c r="CF46" s="6"/>
      <c r="CG46" s="95" t="s">
        <v>69</v>
      </c>
      <c r="CH46" s="14" t="s">
        <v>72</v>
      </c>
      <c r="CI46" s="46">
        <f t="shared" si="4"/>
        <v>284644.49907398695</v>
      </c>
      <c r="CJ46" s="38">
        <f t="shared" si="24"/>
        <v>0.9292806493957184</v>
      </c>
      <c r="CK46" s="30">
        <f t="shared" si="25"/>
        <v>202650.93833028275</v>
      </c>
      <c r="CL46" s="30">
        <f t="shared" si="26"/>
        <v>57190.167304041825</v>
      </c>
      <c r="CM46" s="30">
        <f t="shared" si="27"/>
        <v>24803.39343966237</v>
      </c>
      <c r="CN46" s="6"/>
      <c r="CO46" s="95" t="s">
        <v>69</v>
      </c>
      <c r="CP46" s="14" t="s">
        <v>72</v>
      </c>
      <c r="CQ46" s="30">
        <f t="shared" si="28"/>
        <v>96822.20799152603</v>
      </c>
      <c r="CR46" s="22">
        <f t="shared" si="29"/>
        <v>8086.777384498688</v>
      </c>
      <c r="CS46" s="22">
        <f t="shared" si="30"/>
        <v>31236.597807285278</v>
      </c>
      <c r="CT46" s="109">
        <f t="shared" si="31"/>
        <v>1220.9156691947899</v>
      </c>
      <c r="CU46" s="126">
        <f>189463.24+74473.36</f>
        <v>263936.6</v>
      </c>
      <c r="CV46" s="127">
        <f>66338.3+202102.37</f>
        <v>268440.67</v>
      </c>
      <c r="CW46" s="84"/>
      <c r="CX46" s="95" t="s">
        <v>69</v>
      </c>
      <c r="CY46" s="14" t="s">
        <v>72</v>
      </c>
      <c r="CZ46" s="116">
        <v>7.3</v>
      </c>
      <c r="DA46" s="2">
        <v>256427.83</v>
      </c>
      <c r="DB46" s="2">
        <f>232623.84+55.14</f>
        <v>232678.98</v>
      </c>
      <c r="DC46" s="15"/>
      <c r="DD46" s="11"/>
      <c r="DE46" s="112"/>
      <c r="DF46" s="84"/>
      <c r="DG46" s="95" t="s">
        <v>69</v>
      </c>
      <c r="DH46" s="14" t="s">
        <v>72</v>
      </c>
      <c r="DI46" s="132">
        <v>7.3</v>
      </c>
      <c r="DJ46" s="52">
        <f>3094.76+25258.73</f>
        <v>28353.489999999998</v>
      </c>
      <c r="DK46" s="134">
        <f>18925.58+6076.76</f>
        <v>25002.340000000004</v>
      </c>
      <c r="DL46" s="23"/>
      <c r="DM46" s="23"/>
    </row>
    <row r="47" spans="1:117" ht="11.25" customHeight="1">
      <c r="A47" s="6">
        <v>39</v>
      </c>
      <c r="B47" s="6" t="s">
        <v>69</v>
      </c>
      <c r="C47" s="8">
        <v>4</v>
      </c>
      <c r="D47" s="52">
        <v>4517.9</v>
      </c>
      <c r="E47" s="44">
        <v>1971</v>
      </c>
      <c r="F47" s="45">
        <v>6</v>
      </c>
      <c r="G47" s="45">
        <v>5</v>
      </c>
      <c r="H47" s="45"/>
      <c r="I47" s="45">
        <v>100</v>
      </c>
      <c r="J47" s="45"/>
      <c r="K47" s="46">
        <v>471</v>
      </c>
      <c r="L47" s="47">
        <f>467+98</f>
        <v>565</v>
      </c>
      <c r="M47" s="48">
        <v>376</v>
      </c>
      <c r="N47" s="48">
        <v>0</v>
      </c>
      <c r="O47" s="48">
        <v>3114</v>
      </c>
      <c r="P47" s="45"/>
      <c r="Q47" s="49" t="s">
        <v>46</v>
      </c>
      <c r="R47" s="6">
        <v>39</v>
      </c>
      <c r="S47" s="95" t="s">
        <v>69</v>
      </c>
      <c r="T47" s="14">
        <v>4</v>
      </c>
      <c r="U47" s="50" t="s">
        <v>44</v>
      </c>
      <c r="V47" s="48">
        <v>1229</v>
      </c>
      <c r="W47" s="31">
        <f t="shared" si="5"/>
        <v>-48689.09999999986</v>
      </c>
      <c r="X47" s="3">
        <v>1094414.13</v>
      </c>
      <c r="Y47" s="3">
        <v>1045725.03</v>
      </c>
      <c r="Z47" s="104">
        <f t="shared" si="6"/>
        <v>95.55112651917243</v>
      </c>
      <c r="AA47" s="3">
        <f t="shared" si="7"/>
        <v>15840.07034934999</v>
      </c>
      <c r="AB47" s="3">
        <f t="shared" si="8"/>
        <v>1029884.95965065</v>
      </c>
      <c r="AC47" s="32">
        <f t="shared" si="33"/>
        <v>872783.8641107205</v>
      </c>
      <c r="AD47" s="6">
        <v>39</v>
      </c>
      <c r="AE47" s="95" t="s">
        <v>69</v>
      </c>
      <c r="AF47" s="14">
        <v>4</v>
      </c>
      <c r="AG47" s="2">
        <f t="shared" si="9"/>
        <v>125162.21655075077</v>
      </c>
      <c r="AH47" s="2">
        <f>1.27*1.078</f>
        <v>1.3690600000000002</v>
      </c>
      <c r="AI47" s="30">
        <f t="shared" si="10"/>
        <v>95392.64031327993</v>
      </c>
      <c r="AJ47" s="30">
        <f t="shared" si="11"/>
        <v>22579.423496247502</v>
      </c>
      <c r="AK47" s="2">
        <f t="shared" si="1"/>
        <v>117972.06380952743</v>
      </c>
      <c r="AL47" s="30">
        <f t="shared" si="12"/>
        <v>7190.152741223337</v>
      </c>
      <c r="AM47" s="6">
        <v>39</v>
      </c>
      <c r="AN47" s="95" t="s">
        <v>69</v>
      </c>
      <c r="AO47" s="14">
        <v>4</v>
      </c>
      <c r="AP47" s="30">
        <f t="shared" si="2"/>
        <v>340896.3816878083</v>
      </c>
      <c r="AQ47" s="2">
        <f>(1.499+0.02)*1.003</f>
        <v>1.523557</v>
      </c>
      <c r="AR47" s="30">
        <f t="shared" si="13"/>
        <v>195864.76503669567</v>
      </c>
      <c r="AS47" s="30">
        <f t="shared" si="14"/>
        <v>54125.53591371703</v>
      </c>
      <c r="AT47" s="9">
        <v>23773.3</v>
      </c>
      <c r="AU47" s="22">
        <f t="shared" si="15"/>
        <v>2792.43344682352</v>
      </c>
      <c r="AV47" s="6">
        <v>39</v>
      </c>
      <c r="AW47" s="95" t="s">
        <v>69</v>
      </c>
      <c r="AX47" s="14">
        <v>4</v>
      </c>
      <c r="AY47" s="22">
        <f t="shared" si="16"/>
        <v>0</v>
      </c>
      <c r="AZ47" s="2"/>
      <c r="BA47" s="2"/>
      <c r="BB47" s="2"/>
      <c r="BC47" s="2"/>
      <c r="BD47" s="2"/>
      <c r="BE47" s="2"/>
      <c r="BF47" s="6">
        <v>39</v>
      </c>
      <c r="BG47" s="95" t="s">
        <v>69</v>
      </c>
      <c r="BH47" s="14">
        <v>4</v>
      </c>
      <c r="BI47" s="31">
        <f t="shared" si="17"/>
        <v>0.24178409454746747</v>
      </c>
      <c r="BJ47" s="31">
        <f t="shared" si="18"/>
        <v>38191.759921601595</v>
      </c>
      <c r="BK47" s="30">
        <f t="shared" si="19"/>
        <v>10745.439286873412</v>
      </c>
      <c r="BL47" s="106">
        <f t="shared" si="20"/>
        <v>15403.148082097097</v>
      </c>
      <c r="BM47" s="6">
        <v>39</v>
      </c>
      <c r="BN47" s="95" t="s">
        <v>69</v>
      </c>
      <c r="BO47" s="14">
        <v>4</v>
      </c>
      <c r="BP47" s="30">
        <f t="shared" si="34"/>
        <v>11443.20601146205</v>
      </c>
      <c r="BQ47" s="30">
        <v>4418.4</v>
      </c>
      <c r="BR47" s="22">
        <f t="shared" si="21"/>
        <v>2312.767073077403</v>
      </c>
      <c r="BS47" s="2"/>
      <c r="BT47" s="2"/>
      <c r="BU47" s="2"/>
      <c r="BV47" s="2"/>
      <c r="BW47" s="6">
        <v>39</v>
      </c>
      <c r="BX47" s="95" t="s">
        <v>69</v>
      </c>
      <c r="BY47" s="14">
        <v>4</v>
      </c>
      <c r="BZ47" s="30">
        <f t="shared" si="22"/>
        <v>541.8295218295218</v>
      </c>
      <c r="CA47" s="2"/>
      <c r="CB47" s="2"/>
      <c r="CC47" s="2"/>
      <c r="CD47" s="2"/>
      <c r="CE47" s="30">
        <f t="shared" si="23"/>
        <v>4170.209416555128</v>
      </c>
      <c r="CF47" s="6">
        <v>39</v>
      </c>
      <c r="CG47" s="95" t="s">
        <v>69</v>
      </c>
      <c r="CH47" s="14">
        <v>4</v>
      </c>
      <c r="CI47" s="46">
        <f t="shared" si="4"/>
        <v>266615.9518941754</v>
      </c>
      <c r="CJ47" s="38">
        <f t="shared" si="24"/>
        <v>0.8704227403708829</v>
      </c>
      <c r="CK47" s="30">
        <f t="shared" si="25"/>
        <v>189815.62264841903</v>
      </c>
      <c r="CL47" s="30">
        <f t="shared" si="26"/>
        <v>53567.90995209407</v>
      </c>
      <c r="CM47" s="30">
        <f t="shared" si="27"/>
        <v>23232.419293662275</v>
      </c>
      <c r="CN47" s="6">
        <v>39</v>
      </c>
      <c r="CO47" s="95" t="s">
        <v>69</v>
      </c>
      <c r="CP47" s="14">
        <v>4</v>
      </c>
      <c r="CQ47" s="30">
        <f t="shared" si="28"/>
        <v>90689.77349689335</v>
      </c>
      <c r="CR47" s="22">
        <f t="shared" si="29"/>
        <v>7574.584638517772</v>
      </c>
      <c r="CS47" s="22">
        <f t="shared" si="30"/>
        <v>29258.16337718915</v>
      </c>
      <c r="CT47" s="109">
        <f t="shared" si="31"/>
        <v>1143.5864539236102</v>
      </c>
      <c r="CU47" s="126">
        <f>177452.62+69756.44</f>
        <v>247209.06</v>
      </c>
      <c r="CV47" s="127">
        <f>62341.9+171669.47</f>
        <v>234011.37</v>
      </c>
      <c r="CW47" s="84">
        <v>39</v>
      </c>
      <c r="CX47" s="95" t="s">
        <v>69</v>
      </c>
      <c r="CY47" s="14">
        <v>4</v>
      </c>
      <c r="CZ47" s="116">
        <v>7.3</v>
      </c>
      <c r="DA47" s="2">
        <v>230306.24</v>
      </c>
      <c r="DB47" s="2">
        <f>208973.2+154.16</f>
        <v>209127.36000000002</v>
      </c>
      <c r="DC47" s="15"/>
      <c r="DD47" s="11"/>
      <c r="DE47" s="112"/>
      <c r="DF47" s="84">
        <v>39</v>
      </c>
      <c r="DG47" s="95" t="s">
        <v>69</v>
      </c>
      <c r="DH47" s="14">
        <v>4</v>
      </c>
      <c r="DI47" s="132">
        <v>7.3</v>
      </c>
      <c r="DJ47" s="52">
        <f>2910.12+33539.12</f>
        <v>36449.240000000005</v>
      </c>
      <c r="DK47" s="134">
        <f>26973.63+3326.63</f>
        <v>30300.260000000002</v>
      </c>
      <c r="DL47" s="23"/>
      <c r="DM47" s="23"/>
    </row>
    <row r="48" spans="1:117" ht="11.25" customHeight="1">
      <c r="A48" s="6">
        <v>40</v>
      </c>
      <c r="B48" s="6" t="s">
        <v>69</v>
      </c>
      <c r="C48" s="8">
        <v>8</v>
      </c>
      <c r="D48" s="52">
        <v>4412.7</v>
      </c>
      <c r="E48" s="44">
        <v>1971</v>
      </c>
      <c r="F48" s="45">
        <v>6</v>
      </c>
      <c r="G48" s="45">
        <v>5</v>
      </c>
      <c r="H48" s="45"/>
      <c r="I48" s="45">
        <v>90</v>
      </c>
      <c r="J48" s="45"/>
      <c r="K48" s="46">
        <v>476.5</v>
      </c>
      <c r="L48" s="47">
        <f>461+223</f>
        <v>684</v>
      </c>
      <c r="M48" s="48">
        <v>0</v>
      </c>
      <c r="N48" s="48">
        <v>1521</v>
      </c>
      <c r="O48" s="48">
        <v>2474</v>
      </c>
      <c r="P48" s="45"/>
      <c r="Q48" s="49" t="s">
        <v>43</v>
      </c>
      <c r="R48" s="6">
        <v>40</v>
      </c>
      <c r="S48" s="95" t="s">
        <v>69</v>
      </c>
      <c r="T48" s="14">
        <v>8</v>
      </c>
      <c r="U48" s="50" t="s">
        <v>44</v>
      </c>
      <c r="V48" s="48">
        <v>1110</v>
      </c>
      <c r="W48" s="31">
        <f t="shared" si="5"/>
        <v>-34319.640000000014</v>
      </c>
      <c r="X48" s="3">
        <v>1068978.78</v>
      </c>
      <c r="Y48" s="3">
        <v>1034659.14</v>
      </c>
      <c r="Z48" s="104">
        <f t="shared" si="6"/>
        <v>96.78949286533077</v>
      </c>
      <c r="AA48" s="3">
        <f t="shared" si="7"/>
        <v>-53252.220661451225</v>
      </c>
      <c r="AB48" s="3">
        <f t="shared" si="8"/>
        <v>1087911.3606614512</v>
      </c>
      <c r="AC48" s="32">
        <f t="shared" si="33"/>
        <v>921958.7802215689</v>
      </c>
      <c r="AD48" s="6">
        <v>40</v>
      </c>
      <c r="AE48" s="95" t="s">
        <v>69</v>
      </c>
      <c r="AF48" s="14">
        <v>8</v>
      </c>
      <c r="AG48" s="2">
        <f t="shared" si="9"/>
        <v>172467.62123134948</v>
      </c>
      <c r="AH48" s="2">
        <f>1.75*1.078</f>
        <v>1.8865</v>
      </c>
      <c r="AI48" s="30">
        <f t="shared" si="10"/>
        <v>131446.5516127873</v>
      </c>
      <c r="AJ48" s="30">
        <f t="shared" si="11"/>
        <v>31113.37883341191</v>
      </c>
      <c r="AK48" s="2">
        <f t="shared" si="1"/>
        <v>162559.9304461992</v>
      </c>
      <c r="AL48" s="30">
        <f t="shared" si="12"/>
        <v>9907.690785150267</v>
      </c>
      <c r="AM48" s="6">
        <v>40</v>
      </c>
      <c r="AN48" s="95" t="s">
        <v>69</v>
      </c>
      <c r="AO48" s="14">
        <v>8</v>
      </c>
      <c r="AP48" s="30">
        <f t="shared" si="2"/>
        <v>343719.0570574375</v>
      </c>
      <c r="AQ48" s="2">
        <f>(1.105+0.018)*1.003</f>
        <v>1.126369</v>
      </c>
      <c r="AR48" s="30">
        <f t="shared" si="13"/>
        <v>144803.2463042852</v>
      </c>
      <c r="AS48" s="30">
        <f t="shared" si="14"/>
        <v>40015.12628775788</v>
      </c>
      <c r="AT48" s="9">
        <v>76944.6</v>
      </c>
      <c r="AU48" s="22">
        <f t="shared" si="15"/>
        <v>2155.2521089661145</v>
      </c>
      <c r="AV48" s="6">
        <v>40</v>
      </c>
      <c r="AW48" s="95" t="s">
        <v>69</v>
      </c>
      <c r="AX48" s="14">
        <v>8</v>
      </c>
      <c r="AY48" s="22">
        <f t="shared" si="16"/>
        <v>16958.66</v>
      </c>
      <c r="AZ48" s="2"/>
      <c r="BA48" s="2">
        <v>5568.98</v>
      </c>
      <c r="BB48" s="2"/>
      <c r="BC48" s="2"/>
      <c r="BD48" s="2">
        <v>11389.68</v>
      </c>
      <c r="BE48" s="2"/>
      <c r="BF48" s="6">
        <v>40</v>
      </c>
      <c r="BG48" s="95" t="s">
        <v>69</v>
      </c>
      <c r="BH48" s="14">
        <v>8</v>
      </c>
      <c r="BI48" s="31">
        <f t="shared" si="17"/>
        <v>0.2361541145243608</v>
      </c>
      <c r="BJ48" s="31">
        <f t="shared" si="18"/>
        <v>37302.458887104935</v>
      </c>
      <c r="BK48" s="30">
        <f t="shared" si="19"/>
        <v>10495.230071755974</v>
      </c>
      <c r="BL48" s="106">
        <f t="shared" si="20"/>
        <v>15044.483397567423</v>
      </c>
      <c r="BM48" s="6">
        <v>40</v>
      </c>
      <c r="BN48" s="95" t="s">
        <v>69</v>
      </c>
      <c r="BO48" s="14">
        <v>8</v>
      </c>
      <c r="BP48" s="30">
        <f t="shared" si="34"/>
        <v>19694.245949402975</v>
      </c>
      <c r="BQ48" s="30"/>
      <c r="BR48" s="22">
        <f t="shared" si="21"/>
        <v>2258.913934210287</v>
      </c>
      <c r="BS48" s="2"/>
      <c r="BT48" s="2"/>
      <c r="BU48" s="2"/>
      <c r="BV48" s="2"/>
      <c r="BW48" s="6">
        <v>40</v>
      </c>
      <c r="BX48" s="95" t="s">
        <v>69</v>
      </c>
      <c r="BY48" s="14">
        <v>8</v>
      </c>
      <c r="BZ48" s="30">
        <f t="shared" si="22"/>
        <v>487.6465696465696</v>
      </c>
      <c r="CA48" s="2"/>
      <c r="CB48" s="2"/>
      <c r="CC48" s="2"/>
      <c r="CD48" s="2">
        <v>12874.58</v>
      </c>
      <c r="CE48" s="30">
        <f t="shared" si="23"/>
        <v>4073.10544554612</v>
      </c>
      <c r="CF48" s="6">
        <v>40</v>
      </c>
      <c r="CG48" s="95" t="s">
        <v>69</v>
      </c>
      <c r="CH48" s="14">
        <v>8</v>
      </c>
      <c r="CI48" s="46">
        <f t="shared" si="4"/>
        <v>260407.758233566</v>
      </c>
      <c r="CJ48" s="38">
        <f t="shared" si="24"/>
        <v>0.850154812287699</v>
      </c>
      <c r="CK48" s="30">
        <f t="shared" si="25"/>
        <v>185395.7365281832</v>
      </c>
      <c r="CL48" s="30">
        <f t="shared" si="26"/>
        <v>52320.57288687345</v>
      </c>
      <c r="CM48" s="30">
        <f t="shared" si="27"/>
        <v>22691.44881850938</v>
      </c>
      <c r="CN48" s="6">
        <v>40</v>
      </c>
      <c r="CO48" s="95" t="s">
        <v>69</v>
      </c>
      <c r="CP48" s="14">
        <v>8</v>
      </c>
      <c r="CQ48" s="30">
        <f t="shared" si="28"/>
        <v>88578.04809972362</v>
      </c>
      <c r="CR48" s="22">
        <f t="shared" si="29"/>
        <v>7398.2092641243435</v>
      </c>
      <c r="CS48" s="22">
        <f t="shared" si="30"/>
        <v>28576.882519427738</v>
      </c>
      <c r="CT48" s="109">
        <f t="shared" si="31"/>
        <v>1116.957866537266</v>
      </c>
      <c r="CU48" s="126">
        <f>173330.8+68132.04</f>
        <v>241462.83999999997</v>
      </c>
      <c r="CV48" s="127">
        <f>61043.01+167701.9</f>
        <v>228744.91</v>
      </c>
      <c r="CW48" s="84">
        <v>40</v>
      </c>
      <c r="CX48" s="95" t="s">
        <v>69</v>
      </c>
      <c r="CY48" s="14">
        <v>8</v>
      </c>
      <c r="CZ48" s="116">
        <v>7.3</v>
      </c>
      <c r="DA48" s="2">
        <f>1525.93+227231.48</f>
        <v>228757.41</v>
      </c>
      <c r="DB48" s="2">
        <f>205687.7+1300.13</f>
        <v>206987.83000000002</v>
      </c>
      <c r="DC48" s="15"/>
      <c r="DD48" s="11"/>
      <c r="DE48" s="112"/>
      <c r="DF48" s="84">
        <v>40</v>
      </c>
      <c r="DG48" s="95" t="s">
        <v>69</v>
      </c>
      <c r="DH48" s="14">
        <v>8</v>
      </c>
      <c r="DI48" s="132">
        <v>7.3</v>
      </c>
      <c r="DJ48" s="52">
        <f>1156.67+30470.2</f>
        <v>31626.870000000003</v>
      </c>
      <c r="DK48" s="134">
        <f>25651.19+2611.74</f>
        <v>28262.93</v>
      </c>
      <c r="DL48" s="23"/>
      <c r="DM48" s="23"/>
    </row>
    <row r="49" spans="1:117" ht="11.25" customHeight="1">
      <c r="A49" s="6">
        <v>41</v>
      </c>
      <c r="B49" s="6" t="s">
        <v>69</v>
      </c>
      <c r="C49" s="8" t="s">
        <v>73</v>
      </c>
      <c r="D49" s="52">
        <v>3949.3</v>
      </c>
      <c r="E49" s="53" t="s">
        <v>74</v>
      </c>
      <c r="F49" s="45">
        <v>2</v>
      </c>
      <c r="G49" s="45">
        <v>9</v>
      </c>
      <c r="H49" s="45">
        <v>2</v>
      </c>
      <c r="I49" s="45">
        <v>72</v>
      </c>
      <c r="J49" s="45"/>
      <c r="K49" s="46">
        <v>458.8</v>
      </c>
      <c r="L49" s="47">
        <f>343+560</f>
        <v>903</v>
      </c>
      <c r="M49" s="48">
        <v>0</v>
      </c>
      <c r="N49" s="48">
        <v>0</v>
      </c>
      <c r="O49" s="48">
        <v>4078</v>
      </c>
      <c r="P49" s="45"/>
      <c r="Q49" s="49" t="s">
        <v>46</v>
      </c>
      <c r="R49" s="6">
        <v>41</v>
      </c>
      <c r="S49" s="95" t="s">
        <v>69</v>
      </c>
      <c r="T49" s="14" t="s">
        <v>73</v>
      </c>
      <c r="U49" s="50" t="s">
        <v>44</v>
      </c>
      <c r="V49" s="48">
        <v>713</v>
      </c>
      <c r="W49" s="31">
        <f t="shared" si="5"/>
        <v>-39137.98999999999</v>
      </c>
      <c r="X49" s="3">
        <v>1229707.46</v>
      </c>
      <c r="Y49" s="3">
        <v>1190569.47</v>
      </c>
      <c r="Z49" s="104">
        <f t="shared" si="6"/>
        <v>96.81729262665448</v>
      </c>
      <c r="AA49" s="3">
        <f t="shared" si="7"/>
        <v>3016.9289215239696</v>
      </c>
      <c r="AB49" s="3">
        <f t="shared" si="8"/>
        <v>1187552.541078476</v>
      </c>
      <c r="AC49" s="32">
        <f t="shared" si="33"/>
        <v>1006400.4585410814</v>
      </c>
      <c r="AD49" s="6">
        <v>41</v>
      </c>
      <c r="AE49" s="95" t="s">
        <v>69</v>
      </c>
      <c r="AF49" s="14" t="s">
        <v>73</v>
      </c>
      <c r="AG49" s="2">
        <f t="shared" si="9"/>
        <v>122205.62875821335</v>
      </c>
      <c r="AH49" s="2">
        <f>1.24*1.078</f>
        <v>1.3367200000000001</v>
      </c>
      <c r="AI49" s="30">
        <f t="shared" si="10"/>
        <v>93139.27085706072</v>
      </c>
      <c r="AJ49" s="30">
        <f t="shared" si="11"/>
        <v>22046.051287674727</v>
      </c>
      <c r="AK49" s="2">
        <f t="shared" si="1"/>
        <v>115185.32214473544</v>
      </c>
      <c r="AL49" s="30">
        <f t="shared" si="12"/>
        <v>7020.306613477904</v>
      </c>
      <c r="AM49" s="6">
        <v>41</v>
      </c>
      <c r="AN49" s="95" t="s">
        <v>69</v>
      </c>
      <c r="AO49" s="14" t="s">
        <v>73</v>
      </c>
      <c r="AP49" s="30">
        <f t="shared" si="2"/>
        <v>282870.0899104632</v>
      </c>
      <c r="AQ49" s="2">
        <f>(1.228+0.02)*1.003</f>
        <v>1.251744</v>
      </c>
      <c r="AR49" s="30">
        <f t="shared" si="13"/>
        <v>160921.14994456628</v>
      </c>
      <c r="AS49" s="30">
        <f t="shared" si="14"/>
        <v>44469.16973029549</v>
      </c>
      <c r="AT49" s="9">
        <v>18922.63</v>
      </c>
      <c r="AU49" s="22">
        <f t="shared" si="15"/>
        <v>2314.3430168368354</v>
      </c>
      <c r="AV49" s="6">
        <v>41</v>
      </c>
      <c r="AW49" s="95" t="s">
        <v>69</v>
      </c>
      <c r="AX49" s="14" t="s">
        <v>73</v>
      </c>
      <c r="AY49" s="22">
        <f t="shared" si="16"/>
        <v>0</v>
      </c>
      <c r="AZ49" s="10"/>
      <c r="BA49" s="2"/>
      <c r="BB49" s="2"/>
      <c r="BC49" s="2"/>
      <c r="BD49" s="2"/>
      <c r="BE49" s="2"/>
      <c r="BF49" s="6">
        <v>41</v>
      </c>
      <c r="BG49" s="95" t="s">
        <v>69</v>
      </c>
      <c r="BH49" s="14" t="s">
        <v>73</v>
      </c>
      <c r="BI49" s="31">
        <f t="shared" si="17"/>
        <v>0.21135437362409823</v>
      </c>
      <c r="BJ49" s="31">
        <f t="shared" si="18"/>
        <v>33385.13855073844</v>
      </c>
      <c r="BK49" s="30">
        <f t="shared" si="19"/>
        <v>9393.072749651203</v>
      </c>
      <c r="BL49" s="106">
        <f t="shared" si="20"/>
        <v>13464.585918374925</v>
      </c>
      <c r="BM49" s="6">
        <v>41</v>
      </c>
      <c r="BN49" s="95" t="s">
        <v>69</v>
      </c>
      <c r="BO49" s="14" t="s">
        <v>73</v>
      </c>
      <c r="BP49" s="30">
        <f t="shared" si="34"/>
        <v>255790.8770140283</v>
      </c>
      <c r="BQ49" s="30">
        <v>2500.4</v>
      </c>
      <c r="BR49" s="22">
        <f t="shared" si="21"/>
        <v>2021.6939289724405</v>
      </c>
      <c r="BS49" s="2">
        <f>28000/37*2</f>
        <v>1513.5135135135135</v>
      </c>
      <c r="BT49" s="2">
        <f>151689.01/37*2</f>
        <v>8199.405945945946</v>
      </c>
      <c r="BU49" s="2">
        <f>40499.84/37*2</f>
        <v>2189.1805405405403</v>
      </c>
      <c r="BV49" s="2">
        <f>4353627.16/37*2</f>
        <v>235331.19783783786</v>
      </c>
      <c r="BW49" s="6">
        <v>41</v>
      </c>
      <c r="BX49" s="95" t="s">
        <v>69</v>
      </c>
      <c r="BY49" s="14" t="s">
        <v>73</v>
      </c>
      <c r="BZ49" s="30">
        <f t="shared" si="22"/>
        <v>390.1172557172557</v>
      </c>
      <c r="CA49" s="2"/>
      <c r="CB49" s="2"/>
      <c r="CC49" s="2"/>
      <c r="CD49" s="2"/>
      <c r="CE49" s="30">
        <f t="shared" si="23"/>
        <v>3645.3679915007347</v>
      </c>
      <c r="CF49" s="6">
        <v>41</v>
      </c>
      <c r="CG49" s="95" t="s">
        <v>69</v>
      </c>
      <c r="CH49" s="14" t="s">
        <v>73</v>
      </c>
      <c r="CI49" s="46">
        <f t="shared" si="4"/>
        <v>233061.0192380679</v>
      </c>
      <c r="CJ49" s="38">
        <f t="shared" si="24"/>
        <v>0.7608757450467536</v>
      </c>
      <c r="CK49" s="30">
        <f t="shared" si="25"/>
        <v>165926.39025330383</v>
      </c>
      <c r="CL49" s="30">
        <f t="shared" si="26"/>
        <v>46826.12425547381</v>
      </c>
      <c r="CM49" s="30">
        <f t="shared" si="27"/>
        <v>20308.504729290253</v>
      </c>
      <c r="CN49" s="6">
        <v>41</v>
      </c>
      <c r="CO49" s="95" t="s">
        <v>69</v>
      </c>
      <c r="CP49" s="14" t="s">
        <v>73</v>
      </c>
      <c r="CQ49" s="30">
        <f t="shared" si="28"/>
        <v>79276.01816580292</v>
      </c>
      <c r="CR49" s="22">
        <f t="shared" si="29"/>
        <v>6621.2857993532925</v>
      </c>
      <c r="CS49" s="22">
        <f t="shared" si="30"/>
        <v>25575.87919731139</v>
      </c>
      <c r="CT49" s="109">
        <f t="shared" si="31"/>
        <v>999.6604578411461</v>
      </c>
      <c r="CU49" s="126">
        <f>154601.61+60758.06</f>
        <v>215359.66999999998</v>
      </c>
      <c r="CV49" s="127">
        <f>55093.4+152628.15</f>
        <v>207721.55</v>
      </c>
      <c r="CW49" s="84">
        <v>41</v>
      </c>
      <c r="CX49" s="95" t="s">
        <v>69</v>
      </c>
      <c r="CY49" s="14" t="s">
        <v>73</v>
      </c>
      <c r="CZ49" s="116">
        <v>7.3</v>
      </c>
      <c r="DA49" s="2">
        <v>192692.99</v>
      </c>
      <c r="DB49" s="2">
        <f>178458.48+419.33</f>
        <v>178877.81</v>
      </c>
      <c r="DC49" s="15"/>
      <c r="DD49" s="11"/>
      <c r="DE49" s="112"/>
      <c r="DF49" s="84">
        <v>41</v>
      </c>
      <c r="DG49" s="95" t="s">
        <v>69</v>
      </c>
      <c r="DH49" s="14" t="s">
        <v>73</v>
      </c>
      <c r="DI49" s="132">
        <v>7.3</v>
      </c>
      <c r="DJ49" s="52">
        <f>3330.6+37119.04</f>
        <v>40449.64</v>
      </c>
      <c r="DK49" s="134">
        <f>30342.44+3468.11</f>
        <v>33810.549999999996</v>
      </c>
      <c r="DL49" s="23"/>
      <c r="DM49" s="23"/>
    </row>
    <row r="50" spans="1:117" ht="11.25" customHeight="1">
      <c r="A50" s="6">
        <v>42</v>
      </c>
      <c r="B50" s="6" t="s">
        <v>69</v>
      </c>
      <c r="C50" s="8">
        <v>10</v>
      </c>
      <c r="D50" s="52">
        <v>3640.5</v>
      </c>
      <c r="E50" s="44">
        <v>1968</v>
      </c>
      <c r="F50" s="45">
        <v>6</v>
      </c>
      <c r="G50" s="45">
        <v>5</v>
      </c>
      <c r="H50" s="45"/>
      <c r="I50" s="45">
        <v>80</v>
      </c>
      <c r="J50" s="45"/>
      <c r="K50" s="46">
        <v>564.3</v>
      </c>
      <c r="L50" s="47">
        <f>1344</f>
        <v>1344</v>
      </c>
      <c r="M50" s="48">
        <v>0</v>
      </c>
      <c r="N50" s="48">
        <v>0</v>
      </c>
      <c r="O50" s="48">
        <v>4051</v>
      </c>
      <c r="P50" s="45"/>
      <c r="Q50" s="49" t="s">
        <v>46</v>
      </c>
      <c r="R50" s="6">
        <v>42</v>
      </c>
      <c r="S50" s="95" t="s">
        <v>69</v>
      </c>
      <c r="T50" s="14">
        <v>10</v>
      </c>
      <c r="U50" s="50" t="s">
        <v>44</v>
      </c>
      <c r="V50" s="48">
        <v>1241</v>
      </c>
      <c r="W50" s="31">
        <f t="shared" si="5"/>
        <v>-22387.27999999991</v>
      </c>
      <c r="X50" s="3">
        <v>882828.83</v>
      </c>
      <c r="Y50" s="3">
        <v>860441.55</v>
      </c>
      <c r="Z50" s="104">
        <f t="shared" si="6"/>
        <v>97.4641426243409</v>
      </c>
      <c r="AA50" s="3">
        <f t="shared" si="7"/>
        <v>-140548.8018600667</v>
      </c>
      <c r="AB50" s="3">
        <f t="shared" si="8"/>
        <v>1000990.3518600668</v>
      </c>
      <c r="AC50" s="32">
        <f t="shared" si="33"/>
        <v>848296.9083559888</v>
      </c>
      <c r="AD50" s="6">
        <v>42</v>
      </c>
      <c r="AE50" s="95" t="s">
        <v>69</v>
      </c>
      <c r="AF50" s="14">
        <v>10</v>
      </c>
      <c r="AG50" s="2">
        <f t="shared" si="9"/>
        <v>156699.15300448323</v>
      </c>
      <c r="AH50" s="2">
        <f>1.59*1.078</f>
        <v>1.71402</v>
      </c>
      <c r="AI50" s="30">
        <f t="shared" si="10"/>
        <v>119428.58117961818</v>
      </c>
      <c r="AJ50" s="30">
        <f t="shared" si="11"/>
        <v>28268.727054357107</v>
      </c>
      <c r="AK50" s="2">
        <f t="shared" si="1"/>
        <v>147697.3082339753</v>
      </c>
      <c r="AL50" s="30">
        <f t="shared" si="12"/>
        <v>9001.844770507956</v>
      </c>
      <c r="AM50" s="6">
        <v>42</v>
      </c>
      <c r="AN50" s="95" t="s">
        <v>69</v>
      </c>
      <c r="AO50" s="14">
        <v>10</v>
      </c>
      <c r="AP50" s="30">
        <f t="shared" si="2"/>
        <v>367424.1436932744</v>
      </c>
      <c r="AQ50" s="2">
        <f>(1.347+0.018)*1.003</f>
        <v>1.369095</v>
      </c>
      <c r="AR50" s="30">
        <f t="shared" si="13"/>
        <v>176007.50775186936</v>
      </c>
      <c r="AS50" s="30">
        <f t="shared" si="14"/>
        <v>48638.15439251069</v>
      </c>
      <c r="AT50" s="9">
        <v>79252.48</v>
      </c>
      <c r="AU50" s="22">
        <f t="shared" si="15"/>
        <v>2473.828927692596</v>
      </c>
      <c r="AV50" s="6">
        <v>42</v>
      </c>
      <c r="AW50" s="95" t="s">
        <v>69</v>
      </c>
      <c r="AX50" s="14">
        <v>10</v>
      </c>
      <c r="AY50" s="22">
        <f t="shared" si="16"/>
        <v>9207.06</v>
      </c>
      <c r="AZ50" s="2"/>
      <c r="BA50" s="2"/>
      <c r="BB50" s="2">
        <v>9207.06</v>
      </c>
      <c r="BC50" s="2"/>
      <c r="BD50" s="2"/>
      <c r="BE50" s="2"/>
      <c r="BF50" s="6">
        <v>42</v>
      </c>
      <c r="BG50" s="95" t="s">
        <v>69</v>
      </c>
      <c r="BH50" s="14">
        <v>10</v>
      </c>
      <c r="BI50" s="31">
        <f t="shared" si="17"/>
        <v>0.19482834861330603</v>
      </c>
      <c r="BJ50" s="31">
        <f t="shared" si="18"/>
        <v>30774.718784079025</v>
      </c>
      <c r="BK50" s="30">
        <f t="shared" si="19"/>
        <v>8658.618323527005</v>
      </c>
      <c r="BL50" s="106">
        <f t="shared" si="20"/>
        <v>12411.775513595805</v>
      </c>
      <c r="BM50" s="6">
        <v>42</v>
      </c>
      <c r="BN50" s="95" t="s">
        <v>69</v>
      </c>
      <c r="BO50" s="14">
        <v>10</v>
      </c>
      <c r="BP50" s="30">
        <f t="shared" si="34"/>
        <v>5657.411892216762</v>
      </c>
      <c r="BQ50" s="30"/>
      <c r="BR50" s="22">
        <f t="shared" si="21"/>
        <v>1863.6155137427315</v>
      </c>
      <c r="BS50" s="2"/>
      <c r="BT50" s="2"/>
      <c r="BU50" s="2"/>
      <c r="BV50" s="2"/>
      <c r="BW50" s="6">
        <v>42</v>
      </c>
      <c r="BX50" s="95" t="s">
        <v>69</v>
      </c>
      <c r="BY50" s="14">
        <v>10</v>
      </c>
      <c r="BZ50" s="30">
        <f t="shared" si="22"/>
        <v>433.4636174636174</v>
      </c>
      <c r="CA50" s="2"/>
      <c r="CB50" s="2"/>
      <c r="CC50" s="2"/>
      <c r="CD50" s="2"/>
      <c r="CE50" s="30">
        <f t="shared" si="23"/>
        <v>3360.332761010413</v>
      </c>
      <c r="CF50" s="6">
        <v>42</v>
      </c>
      <c r="CG50" s="95" t="s">
        <v>69</v>
      </c>
      <c r="CH50" s="14">
        <v>10</v>
      </c>
      <c r="CI50" s="46">
        <f t="shared" si="4"/>
        <v>214837.72834076578</v>
      </c>
      <c r="CJ50" s="38">
        <f t="shared" si="24"/>
        <v>0.7013820550079017</v>
      </c>
      <c r="CK50" s="30">
        <f t="shared" si="25"/>
        <v>152952.42795360004</v>
      </c>
      <c r="CL50" s="30">
        <f t="shared" si="26"/>
        <v>43164.739410035305</v>
      </c>
      <c r="CM50" s="30">
        <f t="shared" si="27"/>
        <v>18720.56097713042</v>
      </c>
      <c r="CN50" s="6">
        <v>42</v>
      </c>
      <c r="CO50" s="95" t="s">
        <v>69</v>
      </c>
      <c r="CP50" s="14">
        <v>10</v>
      </c>
      <c r="CQ50" s="30">
        <f t="shared" si="28"/>
        <v>73077.34133456701</v>
      </c>
      <c r="CR50" s="22">
        <f t="shared" si="29"/>
        <v>6103.560365772582</v>
      </c>
      <c r="CS50" s="22">
        <f t="shared" si="30"/>
        <v>23576.073789737955</v>
      </c>
      <c r="CT50" s="109">
        <f t="shared" si="31"/>
        <v>921.495935170965</v>
      </c>
      <c r="CU50" s="126">
        <f>143142.73+56272.47</f>
        <v>199415.2</v>
      </c>
      <c r="CV50" s="127">
        <f>51504.11+142599.22</f>
        <v>194103.33000000002</v>
      </c>
      <c r="CW50" s="84">
        <v>42</v>
      </c>
      <c r="CX50" s="95" t="s">
        <v>69</v>
      </c>
      <c r="CY50" s="14">
        <v>10</v>
      </c>
      <c r="CZ50" s="116">
        <v>7.3</v>
      </c>
      <c r="DA50" s="2">
        <v>183322.71</v>
      </c>
      <c r="DB50" s="2">
        <f>171275.92-233.77</f>
        <v>171042.15000000002</v>
      </c>
      <c r="DC50" s="15"/>
      <c r="DD50" s="11"/>
      <c r="DE50" s="112"/>
      <c r="DF50" s="84">
        <v>42</v>
      </c>
      <c r="DG50" s="95" t="s">
        <v>69</v>
      </c>
      <c r="DH50" s="14">
        <v>10</v>
      </c>
      <c r="DI50" s="132">
        <v>7.3</v>
      </c>
      <c r="DJ50" s="52">
        <f>2229.26+29521.2</f>
        <v>31750.46</v>
      </c>
      <c r="DK50" s="134">
        <f>23823.88+2428.53</f>
        <v>26252.41</v>
      </c>
      <c r="DL50" s="23"/>
      <c r="DM50" s="23"/>
    </row>
    <row r="51" spans="1:117" ht="11.25" customHeight="1">
      <c r="A51" s="6">
        <v>43</v>
      </c>
      <c r="B51" s="6" t="s">
        <v>69</v>
      </c>
      <c r="C51" s="8" t="s">
        <v>75</v>
      </c>
      <c r="D51" s="2">
        <v>4402.1</v>
      </c>
      <c r="E51" s="44">
        <v>1969</v>
      </c>
      <c r="F51" s="45">
        <v>6</v>
      </c>
      <c r="G51" s="45">
        <v>5</v>
      </c>
      <c r="H51" s="45"/>
      <c r="I51" s="45">
        <v>90</v>
      </c>
      <c r="J51" s="45"/>
      <c r="K51" s="46">
        <v>490.3</v>
      </c>
      <c r="L51" s="47">
        <f>347+319+35</f>
        <v>701</v>
      </c>
      <c r="M51" s="48">
        <v>0</v>
      </c>
      <c r="N51" s="48">
        <v>0</v>
      </c>
      <c r="O51" s="48">
        <v>4527</v>
      </c>
      <c r="P51" s="45"/>
      <c r="Q51" s="49" t="s">
        <v>43</v>
      </c>
      <c r="R51" s="6">
        <v>43</v>
      </c>
      <c r="S51" s="95" t="s">
        <v>69</v>
      </c>
      <c r="T51" s="14" t="s">
        <v>75</v>
      </c>
      <c r="U51" s="50" t="s">
        <v>44</v>
      </c>
      <c r="V51" s="48">
        <v>1110</v>
      </c>
      <c r="W51" s="31">
        <f t="shared" si="5"/>
        <v>-78410.92000000004</v>
      </c>
      <c r="X51" s="3">
        <v>1066411.02</v>
      </c>
      <c r="Y51" s="3">
        <v>988000.1</v>
      </c>
      <c r="Z51" s="104">
        <f t="shared" si="6"/>
        <v>92.64721401697442</v>
      </c>
      <c r="AA51" s="3">
        <f t="shared" si="7"/>
        <v>-89736.85810197296</v>
      </c>
      <c r="AB51" s="3">
        <f t="shared" si="8"/>
        <v>1077736.958101973</v>
      </c>
      <c r="AC51" s="32">
        <f t="shared" si="33"/>
        <v>913336.4051711635</v>
      </c>
      <c r="AD51" s="6">
        <v>43</v>
      </c>
      <c r="AE51" s="95" t="s">
        <v>69</v>
      </c>
      <c r="AF51" s="14" t="s">
        <v>75</v>
      </c>
      <c r="AG51" s="2">
        <f t="shared" si="9"/>
        <v>136003.0384567213</v>
      </c>
      <c r="AH51" s="2">
        <f>1.38*1.078</f>
        <v>1.48764</v>
      </c>
      <c r="AI51" s="30">
        <f t="shared" si="10"/>
        <v>103654.99498608371</v>
      </c>
      <c r="AJ51" s="30">
        <f t="shared" si="11"/>
        <v>24535.12159434768</v>
      </c>
      <c r="AK51" s="2">
        <f t="shared" si="1"/>
        <v>128190.11658043138</v>
      </c>
      <c r="AL51" s="30">
        <f t="shared" si="12"/>
        <v>7812.9218762899245</v>
      </c>
      <c r="AM51" s="6">
        <v>43</v>
      </c>
      <c r="AN51" s="95" t="s">
        <v>69</v>
      </c>
      <c r="AO51" s="14" t="s">
        <v>75</v>
      </c>
      <c r="AP51" s="30">
        <f t="shared" si="2"/>
        <v>385378.4750712447</v>
      </c>
      <c r="AQ51" s="2">
        <f>(1.104+0.02)*1.003</f>
        <v>1.127372</v>
      </c>
      <c r="AR51" s="30">
        <f t="shared" si="13"/>
        <v>144932.18953340745</v>
      </c>
      <c r="AS51" s="30">
        <f t="shared" si="14"/>
        <v>40050.75863529818</v>
      </c>
      <c r="AT51" s="9">
        <v>113417.12</v>
      </c>
      <c r="AU51" s="22">
        <f t="shared" si="15"/>
        <v>2155.9413360529943</v>
      </c>
      <c r="AV51" s="6">
        <v>43</v>
      </c>
      <c r="AW51" s="95" t="s">
        <v>69</v>
      </c>
      <c r="AX51" s="14" t="s">
        <v>75</v>
      </c>
      <c r="AY51" s="22">
        <f t="shared" si="16"/>
        <v>22131.25</v>
      </c>
      <c r="AZ51" s="10"/>
      <c r="BA51" s="2"/>
      <c r="BB51" s="2">
        <v>10741.57</v>
      </c>
      <c r="BC51" s="2"/>
      <c r="BD51" s="2">
        <v>11389.68</v>
      </c>
      <c r="BE51" s="2"/>
      <c r="BF51" s="6">
        <v>43</v>
      </c>
      <c r="BG51" s="95" t="s">
        <v>69</v>
      </c>
      <c r="BH51" s="14" t="s">
        <v>75</v>
      </c>
      <c r="BI51" s="31">
        <f t="shared" si="17"/>
        <v>0.23558683516842044</v>
      </c>
      <c r="BJ51" s="31">
        <f t="shared" si="18"/>
        <v>37212.85250910433</v>
      </c>
      <c r="BK51" s="30">
        <f t="shared" si="19"/>
        <v>10470.018877076842</v>
      </c>
      <c r="BL51" s="106">
        <f t="shared" si="20"/>
        <v>15008.34418030493</v>
      </c>
      <c r="BM51" s="6">
        <v>43</v>
      </c>
      <c r="BN51" s="95" t="s">
        <v>69</v>
      </c>
      <c r="BO51" s="14" t="s">
        <v>75</v>
      </c>
      <c r="BP51" s="30">
        <f t="shared" si="34"/>
        <v>6804.455442134091</v>
      </c>
      <c r="BQ51" s="30"/>
      <c r="BR51" s="22">
        <f t="shared" si="21"/>
        <v>2253.4876673662625</v>
      </c>
      <c r="BS51" s="2"/>
      <c r="BT51" s="2"/>
      <c r="BU51" s="2"/>
      <c r="BV51" s="2"/>
      <c r="BW51" s="6">
        <v>43</v>
      </c>
      <c r="BX51" s="95" t="s">
        <v>69</v>
      </c>
      <c r="BY51" s="14" t="s">
        <v>75</v>
      </c>
      <c r="BZ51" s="30">
        <f t="shared" si="22"/>
        <v>487.6465696465696</v>
      </c>
      <c r="CA51" s="2"/>
      <c r="CB51" s="2"/>
      <c r="CC51" s="2"/>
      <c r="CD51" s="2"/>
      <c r="CE51" s="30">
        <f t="shared" si="23"/>
        <v>4063.321205121258</v>
      </c>
      <c r="CF51" s="6">
        <v>43</v>
      </c>
      <c r="CG51" s="95" t="s">
        <v>69</v>
      </c>
      <c r="CH51" s="14" t="s">
        <v>75</v>
      </c>
      <c r="CI51" s="46">
        <f t="shared" si="4"/>
        <v>259782.21780768712</v>
      </c>
      <c r="CJ51" s="38">
        <f t="shared" si="24"/>
        <v>0.8481126066063136</v>
      </c>
      <c r="CK51" s="30">
        <f t="shared" si="25"/>
        <v>184950.38678603014</v>
      </c>
      <c r="CL51" s="30">
        <f t="shared" si="26"/>
        <v>52194.89063505464</v>
      </c>
      <c r="CM51" s="30">
        <f t="shared" si="27"/>
        <v>22636.940386602342</v>
      </c>
      <c r="CN51" s="6">
        <v>43</v>
      </c>
      <c r="CO51" s="95" t="s">
        <v>69</v>
      </c>
      <c r="CP51" s="14" t="s">
        <v>75</v>
      </c>
      <c r="CQ51" s="30">
        <f t="shared" si="28"/>
        <v>88365.26968517991</v>
      </c>
      <c r="CR51" s="22">
        <f t="shared" si="29"/>
        <v>7380.437600925007</v>
      </c>
      <c r="CS51" s="22">
        <f t="shared" si="30"/>
        <v>28508.236349349118</v>
      </c>
      <c r="CT51" s="109">
        <f t="shared" si="31"/>
        <v>1114.2747579222923</v>
      </c>
      <c r="CU51" s="126">
        <f>172914.68+67968.52</f>
        <v>240883.2</v>
      </c>
      <c r="CV51" s="127">
        <f>57758.94+163910.13</f>
        <v>221669.07</v>
      </c>
      <c r="CW51" s="84">
        <v>43</v>
      </c>
      <c r="CX51" s="95" t="s">
        <v>69</v>
      </c>
      <c r="CY51" s="14" t="s">
        <v>75</v>
      </c>
      <c r="CZ51" s="116">
        <v>7.3</v>
      </c>
      <c r="DA51" s="2">
        <v>200415.45</v>
      </c>
      <c r="DB51" s="2">
        <f>179217.48+882.67</f>
        <v>180100.15000000002</v>
      </c>
      <c r="DC51" s="15"/>
      <c r="DD51" s="11"/>
      <c r="DE51" s="112"/>
      <c r="DF51" s="84">
        <v>43</v>
      </c>
      <c r="DG51" s="95" t="s">
        <v>69</v>
      </c>
      <c r="DH51" s="14" t="s">
        <v>75</v>
      </c>
      <c r="DI51" s="132">
        <v>7.3</v>
      </c>
      <c r="DJ51" s="52">
        <f>3798.08+53081.43</f>
        <v>56879.51</v>
      </c>
      <c r="DK51" s="134">
        <f>35906.38+3087.27</f>
        <v>38993.649999999994</v>
      </c>
      <c r="DL51" s="23"/>
      <c r="DM51" s="23"/>
    </row>
    <row r="52" spans="1:117" ht="11.25" customHeight="1">
      <c r="A52" s="6">
        <v>44</v>
      </c>
      <c r="B52" s="6" t="s">
        <v>69</v>
      </c>
      <c r="C52" s="8" t="s">
        <v>76</v>
      </c>
      <c r="D52" s="2">
        <f>4383.9</f>
        <v>4383.9</v>
      </c>
      <c r="E52" s="44">
        <v>1969</v>
      </c>
      <c r="F52" s="45">
        <v>6</v>
      </c>
      <c r="G52" s="45">
        <v>5</v>
      </c>
      <c r="H52" s="45"/>
      <c r="I52" s="45">
        <v>90</v>
      </c>
      <c r="J52" s="45"/>
      <c r="K52" s="46">
        <v>493.2</v>
      </c>
      <c r="L52" s="47">
        <f>388+279+464</f>
        <v>1131</v>
      </c>
      <c r="M52" s="48">
        <v>0</v>
      </c>
      <c r="N52" s="48">
        <v>0</v>
      </c>
      <c r="O52" s="48">
        <v>4782</v>
      </c>
      <c r="P52" s="45"/>
      <c r="Q52" s="49" t="s">
        <v>43</v>
      </c>
      <c r="R52" s="6">
        <v>44</v>
      </c>
      <c r="S52" s="95" t="s">
        <v>69</v>
      </c>
      <c r="T52" s="14" t="s">
        <v>76</v>
      </c>
      <c r="U52" s="50" t="s">
        <v>44</v>
      </c>
      <c r="V52" s="48">
        <v>1106</v>
      </c>
      <c r="W52" s="31">
        <f t="shared" si="5"/>
        <v>-34562.140000000014</v>
      </c>
      <c r="X52" s="3">
        <v>1059340.27</v>
      </c>
      <c r="Y52" s="3">
        <v>1024778.13</v>
      </c>
      <c r="Z52" s="104">
        <f t="shared" si="6"/>
        <v>96.73739014943706</v>
      </c>
      <c r="AA52" s="3">
        <f t="shared" si="7"/>
        <v>-134734.75562106504</v>
      </c>
      <c r="AB52" s="3">
        <f t="shared" si="8"/>
        <v>1159512.885621065</v>
      </c>
      <c r="AC52" s="32">
        <f t="shared" si="33"/>
        <v>982638.0386619195</v>
      </c>
      <c r="AD52" s="6">
        <v>44</v>
      </c>
      <c r="AE52" s="95" t="s">
        <v>69</v>
      </c>
      <c r="AF52" s="14" t="s">
        <v>76</v>
      </c>
      <c r="AG52" s="2">
        <f t="shared" si="9"/>
        <v>150785.9774194084</v>
      </c>
      <c r="AH52" s="2">
        <f>1.53*1.078</f>
        <v>1.64934</v>
      </c>
      <c r="AI52" s="30">
        <f t="shared" si="10"/>
        <v>114921.84226717976</v>
      </c>
      <c r="AJ52" s="30">
        <f t="shared" si="11"/>
        <v>27201.982637211557</v>
      </c>
      <c r="AK52" s="2">
        <f t="shared" si="1"/>
        <v>142123.8249043913</v>
      </c>
      <c r="AL52" s="30">
        <f t="shared" si="12"/>
        <v>8662.15251501709</v>
      </c>
      <c r="AM52" s="6">
        <v>44</v>
      </c>
      <c r="AN52" s="95" t="s">
        <v>69</v>
      </c>
      <c r="AO52" s="14" t="s">
        <v>76</v>
      </c>
      <c r="AP52" s="30">
        <f t="shared" si="2"/>
        <v>438243.64802105294</v>
      </c>
      <c r="AQ52" s="2">
        <f>(1.101+0.02)*1.003</f>
        <v>1.1243629999999998</v>
      </c>
      <c r="AR52" s="30">
        <f t="shared" si="13"/>
        <v>144545.3598460407</v>
      </c>
      <c r="AS52" s="30">
        <f t="shared" si="14"/>
        <v>39943.861592677276</v>
      </c>
      <c r="AT52" s="9">
        <v>80680.78</v>
      </c>
      <c r="AU52" s="22">
        <f t="shared" si="15"/>
        <v>2149.6409759384333</v>
      </c>
      <c r="AV52" s="6">
        <v>44</v>
      </c>
      <c r="AW52" s="95" t="s">
        <v>69</v>
      </c>
      <c r="AX52" s="14" t="s">
        <v>76</v>
      </c>
      <c r="AY52" s="22">
        <f t="shared" si="16"/>
        <v>108491.98000000001</v>
      </c>
      <c r="AZ52" s="10"/>
      <c r="BA52" s="2">
        <v>87895.24</v>
      </c>
      <c r="BB52" s="2">
        <v>9207.06</v>
      </c>
      <c r="BC52" s="2"/>
      <c r="BD52" s="2">
        <v>11389.68</v>
      </c>
      <c r="BE52" s="2"/>
      <c r="BF52" s="6">
        <v>44</v>
      </c>
      <c r="BG52" s="95" t="s">
        <v>69</v>
      </c>
      <c r="BH52" s="14" t="s">
        <v>76</v>
      </c>
      <c r="BI52" s="31">
        <f t="shared" si="17"/>
        <v>0.23461282721765478</v>
      </c>
      <c r="BJ52" s="31">
        <f t="shared" si="18"/>
        <v>37059.000048763635</v>
      </c>
      <c r="BK52" s="30">
        <f t="shared" si="19"/>
        <v>10426.731731495684</v>
      </c>
      <c r="BL52" s="106">
        <f t="shared" si="20"/>
        <v>14946.293826137246</v>
      </c>
      <c r="BM52" s="6">
        <v>44</v>
      </c>
      <c r="BN52" s="95" t="s">
        <v>69</v>
      </c>
      <c r="BO52" s="14" t="s">
        <v>76</v>
      </c>
      <c r="BP52" s="30">
        <f t="shared" si="34"/>
        <v>10050.339288144114</v>
      </c>
      <c r="BQ52" s="30">
        <v>3272</v>
      </c>
      <c r="BR52" s="22">
        <f t="shared" si="21"/>
        <v>2244.1708695774646</v>
      </c>
      <c r="BS52" s="2"/>
      <c r="BT52" s="2"/>
      <c r="BU52" s="2"/>
      <c r="BV52" s="2"/>
      <c r="BW52" s="6">
        <v>44</v>
      </c>
      <c r="BX52" s="95" t="s">
        <v>69</v>
      </c>
      <c r="BY52" s="14" t="s">
        <v>76</v>
      </c>
      <c r="BZ52" s="30">
        <f t="shared" si="22"/>
        <v>487.6465696465696</v>
      </c>
      <c r="CA52" s="2"/>
      <c r="CB52" s="2"/>
      <c r="CC52" s="2"/>
      <c r="CD52" s="2"/>
      <c r="CE52" s="30">
        <f t="shared" si="23"/>
        <v>4046.5218489200793</v>
      </c>
      <c r="CF52" s="6">
        <v>44</v>
      </c>
      <c r="CG52" s="95" t="s">
        <v>69</v>
      </c>
      <c r="CH52" s="14" t="s">
        <v>76</v>
      </c>
      <c r="CI52" s="46">
        <f t="shared" si="4"/>
        <v>258708.17669910257</v>
      </c>
      <c r="CJ52" s="38">
        <f t="shared" si="24"/>
        <v>0.8446061779835573</v>
      </c>
      <c r="CK52" s="30">
        <f t="shared" si="25"/>
        <v>184185.72968157867</v>
      </c>
      <c r="CL52" s="30">
        <f t="shared" si="26"/>
        <v>51979.096580044985</v>
      </c>
      <c r="CM52" s="30">
        <f t="shared" si="27"/>
        <v>22543.35043747893</v>
      </c>
      <c r="CN52" s="6">
        <v>44</v>
      </c>
      <c r="CO52" s="95" t="s">
        <v>69</v>
      </c>
      <c r="CP52" s="14" t="s">
        <v>76</v>
      </c>
      <c r="CQ52" s="30">
        <f t="shared" si="28"/>
        <v>87999.93316209539</v>
      </c>
      <c r="CR52" s="22">
        <f t="shared" si="29"/>
        <v>7349.923990526143</v>
      </c>
      <c r="CS52" s="22">
        <f t="shared" si="30"/>
        <v>28390.372170534876</v>
      </c>
      <c r="CT52" s="109">
        <f t="shared" si="31"/>
        <v>1109.667911055073</v>
      </c>
      <c r="CU52" s="126">
        <f>171755.96+67531.24</f>
        <v>239287.2</v>
      </c>
      <c r="CV52" s="127">
        <f>60738.21+169672.85</f>
        <v>230411.06</v>
      </c>
      <c r="CW52" s="84">
        <v>44</v>
      </c>
      <c r="CX52" s="95" t="s">
        <v>69</v>
      </c>
      <c r="CY52" s="14" t="s">
        <v>76</v>
      </c>
      <c r="CZ52" s="116">
        <v>7.3</v>
      </c>
      <c r="DA52" s="2">
        <v>218234.96</v>
      </c>
      <c r="DB52" s="2">
        <f>198104.94+514.17</f>
        <v>198619.11000000002</v>
      </c>
      <c r="DC52" s="15"/>
      <c r="DD52" s="11"/>
      <c r="DE52" s="112"/>
      <c r="DF52" s="84">
        <v>44</v>
      </c>
      <c r="DG52" s="95" t="s">
        <v>69</v>
      </c>
      <c r="DH52" s="14" t="s">
        <v>76</v>
      </c>
      <c r="DI52" s="132">
        <v>7.3</v>
      </c>
      <c r="DJ52" s="52">
        <f>2845.44+37194.23</f>
        <v>40039.670000000006</v>
      </c>
      <c r="DK52" s="135">
        <f>31947.43+2637.05</f>
        <v>34584.48</v>
      </c>
      <c r="DL52" s="23"/>
      <c r="DM52" s="23"/>
    </row>
    <row r="53" spans="1:117" ht="11.25" customHeight="1">
      <c r="A53" s="6">
        <v>45</v>
      </c>
      <c r="B53" s="6" t="s">
        <v>69</v>
      </c>
      <c r="C53" s="8">
        <v>12</v>
      </c>
      <c r="D53" s="52">
        <v>2292.6</v>
      </c>
      <c r="E53" s="44">
        <v>1979</v>
      </c>
      <c r="F53" s="45">
        <v>1</v>
      </c>
      <c r="G53" s="45">
        <v>9</v>
      </c>
      <c r="H53" s="45">
        <v>1</v>
      </c>
      <c r="I53" s="45">
        <v>54</v>
      </c>
      <c r="J53" s="45"/>
      <c r="K53" s="46">
        <v>149.1</v>
      </c>
      <c r="L53" s="47">
        <f>812+139</f>
        <v>951</v>
      </c>
      <c r="M53" s="48">
        <v>710</v>
      </c>
      <c r="N53" s="48">
        <v>0</v>
      </c>
      <c r="O53" s="48">
        <v>3752</v>
      </c>
      <c r="P53" s="45"/>
      <c r="Q53" s="49" t="s">
        <v>46</v>
      </c>
      <c r="R53" s="6">
        <v>45</v>
      </c>
      <c r="S53" s="95" t="s">
        <v>69</v>
      </c>
      <c r="T53" s="14">
        <v>12</v>
      </c>
      <c r="U53" s="50" t="s">
        <v>44</v>
      </c>
      <c r="V53" s="48">
        <v>388</v>
      </c>
      <c r="W53" s="31">
        <f t="shared" si="5"/>
        <v>-34012.609999999986</v>
      </c>
      <c r="X53" s="3">
        <v>717042.63</v>
      </c>
      <c r="Y53" s="3">
        <v>683030.02</v>
      </c>
      <c r="Z53" s="104">
        <f t="shared" si="6"/>
        <v>95.25654283623275</v>
      </c>
      <c r="AA53" s="3">
        <f t="shared" si="7"/>
        <v>-77950.80171129224</v>
      </c>
      <c r="AB53" s="3">
        <f t="shared" si="8"/>
        <v>760980.8217112923</v>
      </c>
      <c r="AC53" s="32">
        <f t="shared" si="33"/>
        <v>644899.0014502477</v>
      </c>
      <c r="AD53" s="6">
        <v>45</v>
      </c>
      <c r="AE53" s="95" t="s">
        <v>69</v>
      </c>
      <c r="AF53" s="14">
        <v>12</v>
      </c>
      <c r="AG53" s="2">
        <f t="shared" si="9"/>
        <v>111364.8068522428</v>
      </c>
      <c r="AH53" s="2">
        <f>1.13*1.078</f>
        <v>1.21814</v>
      </c>
      <c r="AI53" s="30">
        <f t="shared" si="10"/>
        <v>84876.91618425694</v>
      </c>
      <c r="AJ53" s="30">
        <f t="shared" si="11"/>
        <v>20090.353189574547</v>
      </c>
      <c r="AK53" s="2">
        <f t="shared" si="1"/>
        <v>104967.26937383148</v>
      </c>
      <c r="AL53" s="30">
        <f t="shared" si="12"/>
        <v>6397.537478411315</v>
      </c>
      <c r="AM53" s="6">
        <v>45</v>
      </c>
      <c r="AN53" s="95" t="s">
        <v>69</v>
      </c>
      <c r="AO53" s="14">
        <v>12</v>
      </c>
      <c r="AP53" s="30">
        <f t="shared" si="2"/>
        <v>205750.03302963043</v>
      </c>
      <c r="AQ53" s="2">
        <f>(0.787+0.018)*1.003</f>
        <v>0.807415</v>
      </c>
      <c r="AR53" s="30">
        <f t="shared" si="13"/>
        <v>103799.29944341014</v>
      </c>
      <c r="AS53" s="30">
        <f t="shared" si="14"/>
        <v>28684.039769942206</v>
      </c>
      <c r="AT53" s="9">
        <v>39146.05</v>
      </c>
      <c r="AU53" s="22">
        <f t="shared" si="15"/>
        <v>1471.2535689584</v>
      </c>
      <c r="AV53" s="6">
        <v>45</v>
      </c>
      <c r="AW53" s="95" t="s">
        <v>69</v>
      </c>
      <c r="AX53" s="14">
        <v>12</v>
      </c>
      <c r="AY53" s="22">
        <f t="shared" si="16"/>
        <v>0</v>
      </c>
      <c r="AZ53" s="10"/>
      <c r="BA53" s="2"/>
      <c r="BB53" s="2"/>
      <c r="BC53" s="2"/>
      <c r="BD53" s="2"/>
      <c r="BE53" s="2"/>
      <c r="BF53" s="6">
        <v>45</v>
      </c>
      <c r="BG53" s="95" t="s">
        <v>69</v>
      </c>
      <c r="BH53" s="14">
        <v>12</v>
      </c>
      <c r="BI53" s="31">
        <f t="shared" si="17"/>
        <v>0.12269289164424266</v>
      </c>
      <c r="BJ53" s="31">
        <f t="shared" si="18"/>
        <v>19380.337943793314</v>
      </c>
      <c r="BK53" s="30">
        <f t="shared" si="19"/>
        <v>5452.753294469993</v>
      </c>
      <c r="BL53" s="106">
        <f t="shared" si="20"/>
        <v>7816.299009056377</v>
      </c>
      <c r="BM53" s="6">
        <v>45</v>
      </c>
      <c r="BN53" s="95" t="s">
        <v>69</v>
      </c>
      <c r="BO53" s="14">
        <v>12</v>
      </c>
      <c r="BP53" s="30">
        <f t="shared" si="34"/>
        <v>127199.01129133429</v>
      </c>
      <c r="BQ53" s="30"/>
      <c r="BR53" s="22">
        <f t="shared" si="21"/>
        <v>1173.609374208649</v>
      </c>
      <c r="BS53" s="2">
        <f>28000/37</f>
        <v>756.7567567567568</v>
      </c>
      <c r="BT53" s="2">
        <f>151689.01/37</f>
        <v>4099.702972972973</v>
      </c>
      <c r="BU53" s="2">
        <f>40499.84/37</f>
        <v>1094.5902702702701</v>
      </c>
      <c r="BV53" s="2">
        <f>4353627.16/37</f>
        <v>117665.59891891893</v>
      </c>
      <c r="BW53" s="6">
        <v>45</v>
      </c>
      <c r="BX53" s="95" t="s">
        <v>69</v>
      </c>
      <c r="BY53" s="14">
        <v>12</v>
      </c>
      <c r="BZ53" s="30">
        <f t="shared" si="22"/>
        <v>292.58794178794176</v>
      </c>
      <c r="CA53" s="2"/>
      <c r="CB53" s="2"/>
      <c r="CC53" s="2"/>
      <c r="CD53" s="2"/>
      <c r="CE53" s="30">
        <f t="shared" si="23"/>
        <v>2116.1650564187535</v>
      </c>
      <c r="CF53" s="6">
        <v>45</v>
      </c>
      <c r="CG53" s="95" t="s">
        <v>69</v>
      </c>
      <c r="CH53" s="14">
        <v>12</v>
      </c>
      <c r="CI53" s="46">
        <f t="shared" si="4"/>
        <v>135293.77173301458</v>
      </c>
      <c r="CJ53" s="38">
        <f t="shared" si="24"/>
        <v>0.4416944099192736</v>
      </c>
      <c r="CK53" s="30">
        <f t="shared" si="25"/>
        <v>96321.58668491236</v>
      </c>
      <c r="CL53" s="30">
        <f t="shared" si="26"/>
        <v>27182.93684149071</v>
      </c>
      <c r="CM53" s="30">
        <f t="shared" si="27"/>
        <v>11789.24820661151</v>
      </c>
      <c r="CN53" s="6">
        <v>45</v>
      </c>
      <c r="CO53" s="95" t="s">
        <v>69</v>
      </c>
      <c r="CP53" s="14">
        <v>12</v>
      </c>
      <c r="CQ53" s="30">
        <f t="shared" si="28"/>
        <v>46020.357847446314</v>
      </c>
      <c r="CR53" s="22">
        <f t="shared" si="29"/>
        <v>3843.708967056784</v>
      </c>
      <c r="CS53" s="22">
        <f t="shared" si="30"/>
        <v>14847.000898325296</v>
      </c>
      <c r="CT53" s="109">
        <f t="shared" si="31"/>
        <v>580.3108311970758</v>
      </c>
      <c r="CU53" s="126">
        <f>90143.84+35433.48</f>
        <v>125577.32</v>
      </c>
      <c r="CV53" s="127">
        <f>30380.51+88789.37</f>
        <v>119169.87999999999</v>
      </c>
      <c r="CW53" s="84">
        <v>45</v>
      </c>
      <c r="CX53" s="95" t="s">
        <v>69</v>
      </c>
      <c r="CY53" s="14">
        <v>12</v>
      </c>
      <c r="CZ53" s="116">
        <v>7.3</v>
      </c>
      <c r="DA53" s="2">
        <v>110317.6</v>
      </c>
      <c r="DB53" s="2">
        <v>96308.41</v>
      </c>
      <c r="DC53" s="15"/>
      <c r="DD53" s="11"/>
      <c r="DE53" s="112"/>
      <c r="DF53" s="84">
        <v>45</v>
      </c>
      <c r="DG53" s="95" t="s">
        <v>69</v>
      </c>
      <c r="DH53" s="14">
        <v>12</v>
      </c>
      <c r="DI53" s="132">
        <v>7.3</v>
      </c>
      <c r="DJ53" s="52">
        <f>1927.8+21485.36</f>
        <v>23413.16</v>
      </c>
      <c r="DK53" s="134">
        <f>16872.68+2140.98</f>
        <v>19013.66</v>
      </c>
      <c r="DL53" s="23"/>
      <c r="DM53" s="23"/>
    </row>
    <row r="54" spans="1:117" ht="11.25" customHeight="1">
      <c r="A54" s="6">
        <v>46</v>
      </c>
      <c r="B54" s="6" t="s">
        <v>77</v>
      </c>
      <c r="C54" s="14" t="s">
        <v>78</v>
      </c>
      <c r="D54" s="2">
        <v>913.1</v>
      </c>
      <c r="E54" s="44">
        <v>1952</v>
      </c>
      <c r="F54" s="45">
        <v>2</v>
      </c>
      <c r="G54" s="45">
        <v>2</v>
      </c>
      <c r="H54" s="45"/>
      <c r="I54" s="45">
        <v>12</v>
      </c>
      <c r="J54" s="45"/>
      <c r="K54" s="46">
        <v>82</v>
      </c>
      <c r="L54" s="47">
        <f>79+139+147</f>
        <v>365</v>
      </c>
      <c r="M54" s="48">
        <v>0</v>
      </c>
      <c r="N54" s="48">
        <v>0</v>
      </c>
      <c r="O54" s="48">
        <v>1141</v>
      </c>
      <c r="P54" s="45"/>
      <c r="Q54" s="49" t="s">
        <v>68</v>
      </c>
      <c r="R54" s="6">
        <v>46</v>
      </c>
      <c r="S54" s="95" t="s">
        <v>77</v>
      </c>
      <c r="T54" s="14" t="s">
        <v>78</v>
      </c>
      <c r="U54" s="50" t="s">
        <v>47</v>
      </c>
      <c r="V54" s="48">
        <v>888</v>
      </c>
      <c r="W54" s="31">
        <f t="shared" si="5"/>
        <v>5754.869999999995</v>
      </c>
      <c r="X54" s="3">
        <v>148716.75</v>
      </c>
      <c r="Y54" s="3">
        <v>154471.62</v>
      </c>
      <c r="Z54" s="104">
        <f t="shared" si="6"/>
        <v>103.86968515651398</v>
      </c>
      <c r="AA54" s="3">
        <f t="shared" si="7"/>
        <v>-79220.25493042447</v>
      </c>
      <c r="AB54" s="3">
        <f t="shared" si="8"/>
        <v>233691.87493042447</v>
      </c>
      <c r="AC54" s="32">
        <f t="shared" si="33"/>
        <v>198043.96180544447</v>
      </c>
      <c r="AD54" s="6">
        <v>46</v>
      </c>
      <c r="AE54" s="95" t="s">
        <v>77</v>
      </c>
      <c r="AF54" s="14" t="s">
        <v>78</v>
      </c>
      <c r="AG54" s="2">
        <f t="shared" si="9"/>
        <v>33507.994982090764</v>
      </c>
      <c r="AH54" s="2">
        <f>0.34*1.078</f>
        <v>0.36652000000000007</v>
      </c>
      <c r="AI54" s="30">
        <f t="shared" si="10"/>
        <v>25538.187170484394</v>
      </c>
      <c r="AJ54" s="30">
        <f t="shared" si="11"/>
        <v>6044.885030491458</v>
      </c>
      <c r="AK54" s="2">
        <f t="shared" si="1"/>
        <v>31583.072200975854</v>
      </c>
      <c r="AL54" s="30">
        <f t="shared" si="12"/>
        <v>1924.9227811149092</v>
      </c>
      <c r="AM54" s="6">
        <v>46</v>
      </c>
      <c r="AN54" s="95" t="s">
        <v>77</v>
      </c>
      <c r="AO54" s="14" t="s">
        <v>78</v>
      </c>
      <c r="AP54" s="30">
        <f t="shared" si="2"/>
        <v>78091.821297758</v>
      </c>
      <c r="AQ54" s="2">
        <f>(0.319+0.018)*1.003</f>
        <v>0.338011</v>
      </c>
      <c r="AR54" s="30">
        <f t="shared" si="13"/>
        <v>43453.868214197784</v>
      </c>
      <c r="AS54" s="30">
        <f t="shared" si="14"/>
        <v>12008.101121081394</v>
      </c>
      <c r="AT54" s="9">
        <v>9014.24</v>
      </c>
      <c r="AU54" s="22">
        <f t="shared" si="15"/>
        <v>611.9662175483357</v>
      </c>
      <c r="AV54" s="6">
        <v>46</v>
      </c>
      <c r="AW54" s="95" t="s">
        <v>77</v>
      </c>
      <c r="AX54" s="14" t="s">
        <v>78</v>
      </c>
      <c r="AY54" s="22">
        <f t="shared" si="16"/>
        <v>0</v>
      </c>
      <c r="AZ54" s="2"/>
      <c r="BA54" s="2"/>
      <c r="BB54" s="2"/>
      <c r="BC54" s="2"/>
      <c r="BD54" s="2"/>
      <c r="BE54" s="2"/>
      <c r="BF54" s="6">
        <v>46</v>
      </c>
      <c r="BG54" s="95" t="s">
        <v>77</v>
      </c>
      <c r="BH54" s="14" t="s">
        <v>78</v>
      </c>
      <c r="BI54" s="31">
        <f t="shared" si="17"/>
        <v>0.048866299991432424</v>
      </c>
      <c r="BJ54" s="31">
        <f t="shared" si="18"/>
        <v>7718.828655883136</v>
      </c>
      <c r="BK54" s="30">
        <f t="shared" si="19"/>
        <v>2171.7303642940556</v>
      </c>
      <c r="BL54" s="106">
        <f t="shared" si="20"/>
        <v>3113.0867247532838</v>
      </c>
      <c r="BM54" s="6">
        <v>46</v>
      </c>
      <c r="BN54" s="95" t="s">
        <v>77</v>
      </c>
      <c r="BO54" s="14" t="s">
        <v>78</v>
      </c>
      <c r="BP54" s="30">
        <f t="shared" si="34"/>
        <v>6554.805598017729</v>
      </c>
      <c r="BQ54" s="30"/>
      <c r="BR54" s="22">
        <f t="shared" si="21"/>
        <v>467.4268165357748</v>
      </c>
      <c r="BS54" s="2"/>
      <c r="BT54" s="2"/>
      <c r="BU54" s="2"/>
      <c r="BV54" s="2"/>
      <c r="BW54" s="6">
        <v>46</v>
      </c>
      <c r="BX54" s="95" t="s">
        <v>77</v>
      </c>
      <c r="BY54" s="14" t="s">
        <v>78</v>
      </c>
      <c r="BZ54" s="30">
        <f t="shared" si="22"/>
        <v>65.01954261954262</v>
      </c>
      <c r="CA54" s="2">
        <f>18.5*I54*4</f>
        <v>888</v>
      </c>
      <c r="CB54" s="2"/>
      <c r="CC54" s="2"/>
      <c r="CD54" s="2">
        <v>4291.53</v>
      </c>
      <c r="CE54" s="30">
        <f t="shared" si="23"/>
        <v>842.8292388624112</v>
      </c>
      <c r="CF54" s="6">
        <v>46</v>
      </c>
      <c r="CG54" s="95" t="s">
        <v>77</v>
      </c>
      <c r="CH54" s="14" t="s">
        <v>78</v>
      </c>
      <c r="CI54" s="46">
        <f t="shared" si="4"/>
        <v>53884.9964971716</v>
      </c>
      <c r="CJ54" s="38">
        <f t="shared" si="24"/>
        <v>0.17591867996915675</v>
      </c>
      <c r="CK54" s="30">
        <f t="shared" si="25"/>
        <v>38363.09901508919</v>
      </c>
      <c r="CL54" s="30">
        <f t="shared" si="26"/>
        <v>10826.458880731558</v>
      </c>
      <c r="CM54" s="30">
        <f t="shared" si="27"/>
        <v>4695.438601350855</v>
      </c>
      <c r="CN54" s="6">
        <v>46</v>
      </c>
      <c r="CO54" s="95" t="s">
        <v>77</v>
      </c>
      <c r="CP54" s="14" t="s">
        <v>78</v>
      </c>
      <c r="CQ54" s="30">
        <f t="shared" si="28"/>
        <v>18329.053803761333</v>
      </c>
      <c r="CR54" s="22">
        <f t="shared" si="29"/>
        <v>1530.87789314296</v>
      </c>
      <c r="CS54" s="22">
        <f t="shared" si="30"/>
        <v>5913.28470743297</v>
      </c>
      <c r="CT54" s="109">
        <f t="shared" si="31"/>
        <v>231.12702606911364</v>
      </c>
      <c r="CU54" s="126">
        <f>35866.44+14098.2</f>
        <v>49964.64</v>
      </c>
      <c r="CV54" s="127">
        <f>11977.63+38444.07</f>
        <v>50421.7</v>
      </c>
      <c r="CW54" s="84">
        <v>46</v>
      </c>
      <c r="CX54" s="95" t="s">
        <v>77</v>
      </c>
      <c r="CY54" s="14" t="s">
        <v>78</v>
      </c>
      <c r="CZ54" s="116">
        <v>0</v>
      </c>
      <c r="DA54" s="2">
        <v>0</v>
      </c>
      <c r="DB54" s="2">
        <v>-470.53</v>
      </c>
      <c r="DC54" s="15"/>
      <c r="DD54" s="11"/>
      <c r="DE54" s="112"/>
      <c r="DF54" s="84">
        <v>46</v>
      </c>
      <c r="DG54" s="95" t="s">
        <v>77</v>
      </c>
      <c r="DH54" s="14" t="s">
        <v>78</v>
      </c>
      <c r="DI54" s="132">
        <v>0</v>
      </c>
      <c r="DJ54" s="52">
        <v>0</v>
      </c>
      <c r="DK54" s="134">
        <v>0</v>
      </c>
      <c r="DL54" s="23"/>
      <c r="DM54" s="23"/>
    </row>
    <row r="55" spans="1:117" ht="11.25" customHeight="1">
      <c r="A55" s="6"/>
      <c r="B55" s="6" t="s">
        <v>77</v>
      </c>
      <c r="C55" s="14">
        <v>13</v>
      </c>
      <c r="D55" s="2">
        <v>0</v>
      </c>
      <c r="E55" s="44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6">
        <v>0</v>
      </c>
      <c r="L55" s="47">
        <v>0</v>
      </c>
      <c r="M55" s="48">
        <v>0</v>
      </c>
      <c r="N55" s="48">
        <v>0</v>
      </c>
      <c r="O55" s="48">
        <v>0</v>
      </c>
      <c r="P55" s="45"/>
      <c r="Q55" s="49">
        <v>0</v>
      </c>
      <c r="R55" s="6"/>
      <c r="S55" s="95" t="s">
        <v>77</v>
      </c>
      <c r="T55" s="14">
        <v>13</v>
      </c>
      <c r="U55" s="50">
        <v>0</v>
      </c>
      <c r="V55" s="48">
        <v>0</v>
      </c>
      <c r="W55" s="31">
        <f t="shared" si="5"/>
        <v>0</v>
      </c>
      <c r="X55" s="3">
        <v>0</v>
      </c>
      <c r="Y55" s="3">
        <v>0</v>
      </c>
      <c r="Z55" s="104">
        <v>0</v>
      </c>
      <c r="AA55" s="3">
        <f t="shared" si="7"/>
        <v>-543961.0138</v>
      </c>
      <c r="AB55" s="3">
        <f t="shared" si="8"/>
        <v>543961.0138</v>
      </c>
      <c r="AC55" s="32">
        <f>AG55+AP55+BP55+CI55+CQ55+CR55+CS55+CT55+0.01</f>
        <v>460983.91000000003</v>
      </c>
      <c r="AD55" s="6"/>
      <c r="AE55" s="95" t="s">
        <v>77</v>
      </c>
      <c r="AF55" s="14">
        <v>13</v>
      </c>
      <c r="AG55" s="2">
        <v>0</v>
      </c>
      <c r="AH55" s="2">
        <v>0</v>
      </c>
      <c r="AI55" s="30">
        <v>0</v>
      </c>
      <c r="AJ55" s="30">
        <v>0</v>
      </c>
      <c r="AK55" s="2">
        <v>0</v>
      </c>
      <c r="AL55" s="30">
        <v>0</v>
      </c>
      <c r="AM55" s="6"/>
      <c r="AN55" s="95" t="s">
        <v>77</v>
      </c>
      <c r="AO55" s="14">
        <v>13</v>
      </c>
      <c r="AP55" s="30">
        <f t="shared" si="2"/>
        <v>460983.9</v>
      </c>
      <c r="AQ55" s="2">
        <v>0</v>
      </c>
      <c r="AR55" s="30">
        <v>0</v>
      </c>
      <c r="AS55" s="30">
        <v>0</v>
      </c>
      <c r="AT55" s="9">
        <v>0</v>
      </c>
      <c r="AU55" s="22">
        <v>0</v>
      </c>
      <c r="AV55" s="6"/>
      <c r="AW55" s="95" t="s">
        <v>77</v>
      </c>
      <c r="AX55" s="14">
        <v>13</v>
      </c>
      <c r="AY55" s="22">
        <f t="shared" si="16"/>
        <v>460983.9</v>
      </c>
      <c r="AZ55" s="2"/>
      <c r="BA55" s="2"/>
      <c r="BB55" s="2">
        <v>0</v>
      </c>
      <c r="BC55" s="2">
        <v>0</v>
      </c>
      <c r="BD55" s="2"/>
      <c r="BE55" s="13">
        <v>460983.9</v>
      </c>
      <c r="BF55" s="6"/>
      <c r="BG55" s="95" t="s">
        <v>77</v>
      </c>
      <c r="BH55" s="14">
        <v>13</v>
      </c>
      <c r="BI55" s="31">
        <f t="shared" si="17"/>
        <v>0</v>
      </c>
      <c r="BJ55" s="31">
        <f t="shared" si="18"/>
        <v>0</v>
      </c>
      <c r="BK55" s="30">
        <f t="shared" si="19"/>
        <v>0</v>
      </c>
      <c r="BL55" s="106">
        <f t="shared" si="20"/>
        <v>0</v>
      </c>
      <c r="BM55" s="6"/>
      <c r="BN55" s="95" t="s">
        <v>77</v>
      </c>
      <c r="BO55" s="14">
        <v>13</v>
      </c>
      <c r="BP55" s="30">
        <f t="shared" si="34"/>
        <v>0</v>
      </c>
      <c r="BQ55" s="30"/>
      <c r="BR55" s="22">
        <f t="shared" si="21"/>
        <v>0</v>
      </c>
      <c r="BS55" s="2"/>
      <c r="BT55" s="2"/>
      <c r="BU55" s="2"/>
      <c r="BV55" s="2"/>
      <c r="BW55" s="6"/>
      <c r="BX55" s="95" t="s">
        <v>77</v>
      </c>
      <c r="BY55" s="14">
        <v>13</v>
      </c>
      <c r="BZ55" s="30">
        <f t="shared" si="22"/>
        <v>0</v>
      </c>
      <c r="CA55" s="2"/>
      <c r="CB55" s="2"/>
      <c r="CC55" s="2"/>
      <c r="CD55" s="2"/>
      <c r="CE55" s="30">
        <f t="shared" si="23"/>
        <v>0</v>
      </c>
      <c r="CF55" s="6"/>
      <c r="CG55" s="95" t="s">
        <v>77</v>
      </c>
      <c r="CH55" s="14">
        <v>13</v>
      </c>
      <c r="CI55" s="46">
        <f t="shared" si="4"/>
        <v>0</v>
      </c>
      <c r="CJ55" s="38">
        <f t="shared" si="24"/>
        <v>0</v>
      </c>
      <c r="CK55" s="30">
        <f t="shared" si="25"/>
        <v>0</v>
      </c>
      <c r="CL55" s="30">
        <f t="shared" si="26"/>
        <v>0</v>
      </c>
      <c r="CM55" s="30">
        <f t="shared" si="27"/>
        <v>0</v>
      </c>
      <c r="CN55" s="6"/>
      <c r="CO55" s="95" t="s">
        <v>77</v>
      </c>
      <c r="CP55" s="14">
        <v>13</v>
      </c>
      <c r="CQ55" s="30">
        <f t="shared" si="28"/>
        <v>0</v>
      </c>
      <c r="CR55" s="22">
        <f t="shared" si="29"/>
        <v>0</v>
      </c>
      <c r="CS55" s="22">
        <f t="shared" si="30"/>
        <v>0</v>
      </c>
      <c r="CT55" s="109">
        <f t="shared" si="31"/>
        <v>0</v>
      </c>
      <c r="CU55" s="126"/>
      <c r="CV55" s="127"/>
      <c r="CW55" s="84"/>
      <c r="CX55" s="95" t="s">
        <v>77</v>
      </c>
      <c r="CY55" s="14">
        <v>13</v>
      </c>
      <c r="CZ55" s="116"/>
      <c r="DA55" s="2"/>
      <c r="DB55" s="2"/>
      <c r="DC55" s="15"/>
      <c r="DD55" s="11"/>
      <c r="DE55" s="112"/>
      <c r="DF55" s="84"/>
      <c r="DG55" s="95" t="s">
        <v>77</v>
      </c>
      <c r="DH55" s="14">
        <v>13</v>
      </c>
      <c r="DI55" s="132"/>
      <c r="DJ55" s="52"/>
      <c r="DK55" s="134"/>
      <c r="DL55" s="23"/>
      <c r="DM55" s="23"/>
    </row>
    <row r="56" spans="1:117" ht="11.25" customHeight="1">
      <c r="A56" s="6">
        <v>48</v>
      </c>
      <c r="B56" s="6" t="s">
        <v>77</v>
      </c>
      <c r="C56" s="8">
        <v>15</v>
      </c>
      <c r="D56" s="52">
        <v>913.5</v>
      </c>
      <c r="E56" s="44">
        <v>1952</v>
      </c>
      <c r="F56" s="45">
        <v>2</v>
      </c>
      <c r="G56" s="45">
        <v>2</v>
      </c>
      <c r="H56" s="45"/>
      <c r="I56" s="45">
        <v>12</v>
      </c>
      <c r="J56" s="45"/>
      <c r="K56" s="46">
        <v>81.7</v>
      </c>
      <c r="L56" s="47">
        <f>295+209+120</f>
        <v>624</v>
      </c>
      <c r="M56" s="48">
        <v>0</v>
      </c>
      <c r="N56" s="48">
        <v>18</v>
      </c>
      <c r="O56" s="48">
        <v>2072</v>
      </c>
      <c r="P56" s="45"/>
      <c r="Q56" s="49" t="s">
        <v>68</v>
      </c>
      <c r="R56" s="6">
        <v>48</v>
      </c>
      <c r="S56" s="95" t="s">
        <v>77</v>
      </c>
      <c r="T56" s="14">
        <v>15</v>
      </c>
      <c r="U56" s="50" t="s">
        <v>47</v>
      </c>
      <c r="V56" s="48">
        <v>879</v>
      </c>
      <c r="W56" s="31">
        <f t="shared" si="5"/>
        <v>-12538.24000000002</v>
      </c>
      <c r="X56" s="3">
        <v>148781.82</v>
      </c>
      <c r="Y56" s="3">
        <v>136243.58</v>
      </c>
      <c r="Z56" s="104">
        <f t="shared" si="6"/>
        <v>91.57273381922602</v>
      </c>
      <c r="AA56" s="3">
        <f t="shared" si="7"/>
        <v>-116343.1614125236</v>
      </c>
      <c r="AB56" s="3">
        <f t="shared" si="8"/>
        <v>252586.74141252358</v>
      </c>
      <c r="AC56" s="32">
        <f aca="true" t="shared" si="35" ref="AC56:AC67">AG56+AP56+BP56+CI56+CQ56+CR56+CS56+CT56</f>
        <v>214056.5605190878</v>
      </c>
      <c r="AD56" s="6">
        <v>48</v>
      </c>
      <c r="AE56" s="95" t="s">
        <v>77</v>
      </c>
      <c r="AF56" s="14">
        <v>15</v>
      </c>
      <c r="AG56" s="2">
        <f t="shared" si="9"/>
        <v>53218.58026567356</v>
      </c>
      <c r="AH56" s="2">
        <f>0.54*1.078</f>
        <v>0.5821200000000001</v>
      </c>
      <c r="AI56" s="30">
        <f t="shared" si="10"/>
        <v>40560.6502119458</v>
      </c>
      <c r="AJ56" s="30">
        <f t="shared" si="11"/>
        <v>9600.699754309962</v>
      </c>
      <c r="AK56" s="2">
        <f t="shared" si="1"/>
        <v>50161.349966255766</v>
      </c>
      <c r="AL56" s="30">
        <f t="shared" si="12"/>
        <v>3057.2302994177967</v>
      </c>
      <c r="AM56" s="6">
        <v>48</v>
      </c>
      <c r="AN56" s="95" t="s">
        <v>77</v>
      </c>
      <c r="AO56" s="14">
        <v>15</v>
      </c>
      <c r="AP56" s="30">
        <f t="shared" si="2"/>
        <v>74358.2637734946</v>
      </c>
      <c r="AQ56" s="2">
        <f>(0.32+0.018)*1.003</f>
        <v>0.339014</v>
      </c>
      <c r="AR56" s="30">
        <f t="shared" si="13"/>
        <v>43582.81144332003</v>
      </c>
      <c r="AS56" s="30">
        <f t="shared" si="14"/>
        <v>12043.733468621695</v>
      </c>
      <c r="AT56" s="9">
        <v>1236.43</v>
      </c>
      <c r="AU56" s="22">
        <f t="shared" si="15"/>
        <v>613.5866339830781</v>
      </c>
      <c r="AV56" s="6">
        <v>48</v>
      </c>
      <c r="AW56" s="95" t="s">
        <v>77</v>
      </c>
      <c r="AX56" s="14">
        <v>15</v>
      </c>
      <c r="AY56" s="22">
        <f t="shared" si="16"/>
        <v>3872.36</v>
      </c>
      <c r="AZ56" s="10">
        <v>3872.36</v>
      </c>
      <c r="BA56" s="2"/>
      <c r="BB56" s="2"/>
      <c r="BC56" s="2"/>
      <c r="BD56" s="2"/>
      <c r="BE56" s="2"/>
      <c r="BF56" s="6">
        <v>48</v>
      </c>
      <c r="BG56" s="95" t="s">
        <v>77</v>
      </c>
      <c r="BH56" s="14">
        <v>15</v>
      </c>
      <c r="BI56" s="31">
        <f t="shared" si="17"/>
        <v>0.048887706759581116</v>
      </c>
      <c r="BJ56" s="31">
        <f t="shared" si="18"/>
        <v>7722.210028637876</v>
      </c>
      <c r="BK56" s="30">
        <f t="shared" si="19"/>
        <v>2172.681730131004</v>
      </c>
      <c r="BL56" s="106">
        <f t="shared" si="20"/>
        <v>3114.450468800925</v>
      </c>
      <c r="BM56" s="6">
        <v>48</v>
      </c>
      <c r="BN56" s="95" t="s">
        <v>77</v>
      </c>
      <c r="BO56" s="14">
        <v>15</v>
      </c>
      <c r="BP56" s="30">
        <f t="shared" si="34"/>
        <v>6555.379579424101</v>
      </c>
      <c r="BQ56" s="30"/>
      <c r="BR56" s="22">
        <f t="shared" si="21"/>
        <v>467.63158132234173</v>
      </c>
      <c r="BS56" s="2"/>
      <c r="BT56" s="2"/>
      <c r="BU56" s="2"/>
      <c r="BV56" s="2"/>
      <c r="BW56" s="6">
        <v>48</v>
      </c>
      <c r="BX56" s="95" t="s">
        <v>77</v>
      </c>
      <c r="BY56" s="14">
        <v>15</v>
      </c>
      <c r="BZ56" s="30">
        <f t="shared" si="22"/>
        <v>65.01954261954262</v>
      </c>
      <c r="CA56" s="2">
        <f>18.5*I56*4</f>
        <v>888</v>
      </c>
      <c r="CB56" s="2"/>
      <c r="CC56" s="2"/>
      <c r="CD56" s="2">
        <v>4291.53</v>
      </c>
      <c r="CE56" s="30">
        <f t="shared" si="23"/>
        <v>843.1984554822174</v>
      </c>
      <c r="CF56" s="6">
        <v>48</v>
      </c>
      <c r="CG56" s="95" t="s">
        <v>77</v>
      </c>
      <c r="CH56" s="14">
        <v>15</v>
      </c>
      <c r="CI56" s="46">
        <f t="shared" si="4"/>
        <v>53908.60179626137</v>
      </c>
      <c r="CJ56" s="38">
        <f t="shared" si="24"/>
        <v>0.17599574433449203</v>
      </c>
      <c r="CK56" s="30">
        <f t="shared" si="25"/>
        <v>38379.904665736474</v>
      </c>
      <c r="CL56" s="30">
        <f t="shared" si="26"/>
        <v>10831.201607215287</v>
      </c>
      <c r="CM56" s="30">
        <f t="shared" si="27"/>
        <v>4697.495523309611</v>
      </c>
      <c r="CN56" s="6">
        <v>48</v>
      </c>
      <c r="CO56" s="95" t="s">
        <v>77</v>
      </c>
      <c r="CP56" s="14">
        <v>15</v>
      </c>
      <c r="CQ56" s="30">
        <f t="shared" si="28"/>
        <v>18337.08317789506</v>
      </c>
      <c r="CR56" s="22">
        <f t="shared" si="29"/>
        <v>1531.5485219429347</v>
      </c>
      <c r="CS56" s="22">
        <f t="shared" si="30"/>
        <v>5915.875128945371</v>
      </c>
      <c r="CT56" s="109">
        <f t="shared" si="31"/>
        <v>231.22827545081077</v>
      </c>
      <c r="CU56" s="126">
        <f>35882.2+14104.36</f>
        <v>49986.56</v>
      </c>
      <c r="CV56" s="127">
        <f>11130.92+32196.7</f>
        <v>43327.62</v>
      </c>
      <c r="CW56" s="84">
        <v>48</v>
      </c>
      <c r="CX56" s="95" t="s">
        <v>77</v>
      </c>
      <c r="CY56" s="14">
        <v>15</v>
      </c>
      <c r="CZ56" s="114">
        <v>0</v>
      </c>
      <c r="DA56" s="2">
        <v>0</v>
      </c>
      <c r="DB56" s="2">
        <v>0</v>
      </c>
      <c r="DC56" s="15"/>
      <c r="DD56" s="11"/>
      <c r="DE56" s="112"/>
      <c r="DF56" s="84">
        <v>48</v>
      </c>
      <c r="DG56" s="95" t="s">
        <v>77</v>
      </c>
      <c r="DH56" s="14">
        <v>15</v>
      </c>
      <c r="DI56" s="132">
        <v>0</v>
      </c>
      <c r="DJ56" s="52">
        <v>0</v>
      </c>
      <c r="DK56" s="134">
        <v>0</v>
      </c>
      <c r="DL56" s="23"/>
      <c r="DM56" s="23"/>
    </row>
    <row r="57" spans="1:117" ht="12" customHeight="1">
      <c r="A57" s="6">
        <v>49</v>
      </c>
      <c r="B57" s="6" t="s">
        <v>77</v>
      </c>
      <c r="C57" s="8" t="s">
        <v>79</v>
      </c>
      <c r="D57" s="52">
        <v>913.5</v>
      </c>
      <c r="E57" s="44">
        <v>1952</v>
      </c>
      <c r="F57" s="45">
        <v>2</v>
      </c>
      <c r="G57" s="45">
        <v>2</v>
      </c>
      <c r="H57" s="45"/>
      <c r="I57" s="45">
        <v>12</v>
      </c>
      <c r="J57" s="45"/>
      <c r="K57" s="46">
        <v>79.1</v>
      </c>
      <c r="L57" s="47">
        <f>84+87+143</f>
        <v>314</v>
      </c>
      <c r="M57" s="48">
        <v>0</v>
      </c>
      <c r="N57" s="48">
        <v>0</v>
      </c>
      <c r="O57" s="48">
        <v>775</v>
      </c>
      <c r="P57" s="45"/>
      <c r="Q57" s="49" t="s">
        <v>68</v>
      </c>
      <c r="R57" s="6">
        <v>49</v>
      </c>
      <c r="S57" s="95" t="s">
        <v>77</v>
      </c>
      <c r="T57" s="14" t="s">
        <v>79</v>
      </c>
      <c r="U57" s="50" t="s">
        <v>47</v>
      </c>
      <c r="V57" s="48">
        <v>877</v>
      </c>
      <c r="W57" s="31">
        <f t="shared" si="5"/>
        <v>-2976.8699999999953</v>
      </c>
      <c r="X57" s="3">
        <v>148781.91</v>
      </c>
      <c r="Y57" s="3">
        <v>145805.04</v>
      </c>
      <c r="Z57" s="104">
        <f t="shared" si="6"/>
        <v>97.9991720767666</v>
      </c>
      <c r="AA57" s="3">
        <f t="shared" si="7"/>
        <v>-70174.56889530903</v>
      </c>
      <c r="AB57" s="3">
        <f t="shared" si="8"/>
        <v>215979.60889530904</v>
      </c>
      <c r="AC57" s="32">
        <f t="shared" si="35"/>
        <v>183033.5668604314</v>
      </c>
      <c r="AD57" s="6">
        <v>49</v>
      </c>
      <c r="AE57" s="95" t="s">
        <v>77</v>
      </c>
      <c r="AF57" s="14" t="s">
        <v>79</v>
      </c>
      <c r="AG57" s="2">
        <f t="shared" si="9"/>
        <v>27594.81939701592</v>
      </c>
      <c r="AH57" s="2">
        <f>0.28*1.078</f>
        <v>0.30184000000000005</v>
      </c>
      <c r="AI57" s="30">
        <f t="shared" si="10"/>
        <v>21031.44825804597</v>
      </c>
      <c r="AJ57" s="30">
        <f t="shared" si="11"/>
        <v>4978.140613345906</v>
      </c>
      <c r="AK57" s="2">
        <f t="shared" si="1"/>
        <v>26009.588871391876</v>
      </c>
      <c r="AL57" s="30">
        <f t="shared" si="12"/>
        <v>1585.230525624043</v>
      </c>
      <c r="AM57" s="6">
        <v>49</v>
      </c>
      <c r="AN57" s="95" t="s">
        <v>77</v>
      </c>
      <c r="AO57" s="14" t="s">
        <v>79</v>
      </c>
      <c r="AP57" s="30">
        <f t="shared" si="2"/>
        <v>68959.03098349585</v>
      </c>
      <c r="AQ57" s="2">
        <f>(0.312+0.02)*1.003</f>
        <v>0.33299599999999996</v>
      </c>
      <c r="AR57" s="30">
        <f t="shared" si="13"/>
        <v>42809.15206858654</v>
      </c>
      <c r="AS57" s="30">
        <f t="shared" si="14"/>
        <v>11829.93938337989</v>
      </c>
      <c r="AT57" s="9">
        <v>706.53</v>
      </c>
      <c r="AU57" s="22">
        <f t="shared" si="15"/>
        <v>604.0673039596121</v>
      </c>
      <c r="AV57" s="6">
        <v>49</v>
      </c>
      <c r="AW57" s="95" t="s">
        <v>77</v>
      </c>
      <c r="AX57" s="14" t="s">
        <v>79</v>
      </c>
      <c r="AY57" s="22">
        <f t="shared" si="16"/>
        <v>0</v>
      </c>
      <c r="AZ57" s="10"/>
      <c r="BA57" s="2"/>
      <c r="BB57" s="2"/>
      <c r="BC57" s="2"/>
      <c r="BD57" s="2"/>
      <c r="BE57" s="2"/>
      <c r="BF57" s="6">
        <v>49</v>
      </c>
      <c r="BG57" s="95" t="s">
        <v>77</v>
      </c>
      <c r="BH57" s="14" t="s">
        <v>79</v>
      </c>
      <c r="BI57" s="31">
        <f t="shared" si="17"/>
        <v>0.048887706759581116</v>
      </c>
      <c r="BJ57" s="31">
        <f t="shared" si="18"/>
        <v>7722.210028637876</v>
      </c>
      <c r="BK57" s="30">
        <f t="shared" si="19"/>
        <v>2172.681730131004</v>
      </c>
      <c r="BL57" s="106">
        <f t="shared" si="20"/>
        <v>3114.450468800925</v>
      </c>
      <c r="BM57" s="6">
        <v>49</v>
      </c>
      <c r="BN57" s="95" t="s">
        <v>77</v>
      </c>
      <c r="BO57" s="14" t="s">
        <v>79</v>
      </c>
      <c r="BP57" s="30">
        <f t="shared" si="34"/>
        <v>6555.379579424101</v>
      </c>
      <c r="BQ57" s="30"/>
      <c r="BR57" s="22">
        <f t="shared" si="21"/>
        <v>467.63158132234173</v>
      </c>
      <c r="BS57" s="2"/>
      <c r="BT57" s="2"/>
      <c r="BU57" s="2"/>
      <c r="BV57" s="2"/>
      <c r="BW57" s="6">
        <v>49</v>
      </c>
      <c r="BX57" s="95" t="s">
        <v>77</v>
      </c>
      <c r="BY57" s="14" t="s">
        <v>79</v>
      </c>
      <c r="BZ57" s="30">
        <f t="shared" si="22"/>
        <v>65.01954261954262</v>
      </c>
      <c r="CA57" s="2">
        <f>18.5*I57*4</f>
        <v>888</v>
      </c>
      <c r="CB57" s="2"/>
      <c r="CC57" s="2"/>
      <c r="CD57" s="2">
        <v>4291.53</v>
      </c>
      <c r="CE57" s="30">
        <f t="shared" si="23"/>
        <v>843.1984554822174</v>
      </c>
      <c r="CF57" s="6">
        <v>49</v>
      </c>
      <c r="CG57" s="95" t="s">
        <v>77</v>
      </c>
      <c r="CH57" s="14" t="s">
        <v>79</v>
      </c>
      <c r="CI57" s="46">
        <f t="shared" si="4"/>
        <v>53908.60179626137</v>
      </c>
      <c r="CJ57" s="38">
        <f t="shared" si="24"/>
        <v>0.17599574433449203</v>
      </c>
      <c r="CK57" s="30">
        <f t="shared" si="25"/>
        <v>38379.904665736474</v>
      </c>
      <c r="CL57" s="30">
        <f t="shared" si="26"/>
        <v>10831.201607215287</v>
      </c>
      <c r="CM57" s="30">
        <f t="shared" si="27"/>
        <v>4697.495523309611</v>
      </c>
      <c r="CN57" s="6">
        <v>49</v>
      </c>
      <c r="CO57" s="95" t="s">
        <v>77</v>
      </c>
      <c r="CP57" s="14" t="s">
        <v>79</v>
      </c>
      <c r="CQ57" s="30">
        <f t="shared" si="28"/>
        <v>18337.08317789506</v>
      </c>
      <c r="CR57" s="22">
        <f t="shared" si="29"/>
        <v>1531.5485219429347</v>
      </c>
      <c r="CS57" s="22">
        <f t="shared" si="30"/>
        <v>5915.875128945371</v>
      </c>
      <c r="CT57" s="109">
        <f t="shared" si="31"/>
        <v>231.22827545081077</v>
      </c>
      <c r="CU57" s="126">
        <f>35882.32+14104.44</f>
        <v>49986.76</v>
      </c>
      <c r="CV57" s="127">
        <f>11949.79+36683.38</f>
        <v>48633.17</v>
      </c>
      <c r="CW57" s="84">
        <v>49</v>
      </c>
      <c r="CX57" s="95" t="s">
        <v>77</v>
      </c>
      <c r="CY57" s="14" t="s">
        <v>79</v>
      </c>
      <c r="CZ57" s="116">
        <v>0</v>
      </c>
      <c r="DA57" s="2">
        <v>0</v>
      </c>
      <c r="DB57" s="2">
        <v>0</v>
      </c>
      <c r="DC57" s="15"/>
      <c r="DD57" s="11"/>
      <c r="DE57" s="112"/>
      <c r="DF57" s="84">
        <v>49</v>
      </c>
      <c r="DG57" s="95" t="s">
        <v>77</v>
      </c>
      <c r="DH57" s="14" t="s">
        <v>79</v>
      </c>
      <c r="DI57" s="132">
        <v>0</v>
      </c>
      <c r="DJ57" s="52">
        <v>0</v>
      </c>
      <c r="DK57" s="134">
        <v>0</v>
      </c>
      <c r="DL57" s="23"/>
      <c r="DM57" s="23"/>
    </row>
    <row r="58" spans="1:117" ht="12" customHeight="1">
      <c r="A58" s="6">
        <v>50</v>
      </c>
      <c r="B58" s="6" t="s">
        <v>77</v>
      </c>
      <c r="C58" s="8">
        <v>19</v>
      </c>
      <c r="D58" s="52">
        <v>5550.7</v>
      </c>
      <c r="E58" s="44">
        <v>1990</v>
      </c>
      <c r="F58" s="45">
        <v>2</v>
      </c>
      <c r="G58" s="45">
        <v>9</v>
      </c>
      <c r="H58" s="45">
        <v>2</v>
      </c>
      <c r="I58" s="45">
        <v>108</v>
      </c>
      <c r="J58" s="45"/>
      <c r="K58" s="46">
        <v>525.5</v>
      </c>
      <c r="L58" s="47">
        <f>511.2+458.6+969.8</f>
        <v>1939.6</v>
      </c>
      <c r="M58" s="48">
        <v>0</v>
      </c>
      <c r="N58" s="48">
        <v>0</v>
      </c>
      <c r="O58" s="48">
        <v>2726</v>
      </c>
      <c r="P58" s="45"/>
      <c r="Q58" s="49" t="s">
        <v>46</v>
      </c>
      <c r="R58" s="6">
        <v>50</v>
      </c>
      <c r="S58" s="95" t="s">
        <v>77</v>
      </c>
      <c r="T58" s="14">
        <v>19</v>
      </c>
      <c r="U58" s="50" t="s">
        <v>44</v>
      </c>
      <c r="V58" s="48">
        <v>1007</v>
      </c>
      <c r="W58" s="31">
        <f t="shared" si="5"/>
        <v>-48523.10000000009</v>
      </c>
      <c r="X58" s="3">
        <v>1731311.37</v>
      </c>
      <c r="Y58" s="3">
        <v>1682788.27</v>
      </c>
      <c r="Z58" s="104">
        <f t="shared" si="6"/>
        <v>97.19732101106689</v>
      </c>
      <c r="AA58" s="3">
        <f t="shared" si="7"/>
        <v>92718.46614866029</v>
      </c>
      <c r="AB58" s="3">
        <f t="shared" si="8"/>
        <v>1590069.8038513397</v>
      </c>
      <c r="AC58" s="32">
        <f t="shared" si="35"/>
        <v>1347516.7829248642</v>
      </c>
      <c r="AD58" s="6">
        <v>50</v>
      </c>
      <c r="AE58" s="95" t="s">
        <v>77</v>
      </c>
      <c r="AF58" s="14">
        <v>19</v>
      </c>
      <c r="AG58" s="2">
        <f t="shared" si="9"/>
        <v>139945.15551343787</v>
      </c>
      <c r="AH58" s="2">
        <f>1.42*1.078</f>
        <v>1.5307600000000001</v>
      </c>
      <c r="AI58" s="30">
        <f t="shared" si="10"/>
        <v>106659.48759437598</v>
      </c>
      <c r="AJ58" s="30">
        <f t="shared" si="11"/>
        <v>25246.28453911138</v>
      </c>
      <c r="AK58" s="2">
        <f t="shared" si="1"/>
        <v>131905.77213348736</v>
      </c>
      <c r="AL58" s="30">
        <f t="shared" si="12"/>
        <v>8039.383379950503</v>
      </c>
      <c r="AM58" s="6">
        <v>50</v>
      </c>
      <c r="AN58" s="95" t="s">
        <v>77</v>
      </c>
      <c r="AO58" s="14">
        <v>19</v>
      </c>
      <c r="AP58" s="30">
        <f t="shared" si="2"/>
        <v>456800.693275265</v>
      </c>
      <c r="AQ58" s="2">
        <f>(1.66+0.02)*1.003</f>
        <v>1.6850399999999996</v>
      </c>
      <c r="AR58" s="30">
        <f t="shared" si="13"/>
        <v>216624.62492537763</v>
      </c>
      <c r="AS58" s="30">
        <f t="shared" si="14"/>
        <v>59862.34386770546</v>
      </c>
      <c r="AT58" s="9">
        <v>98129.76</v>
      </c>
      <c r="AU58" s="22">
        <f t="shared" si="15"/>
        <v>3135.299016859811</v>
      </c>
      <c r="AV58" s="6">
        <v>50</v>
      </c>
      <c r="AW58" s="95" t="s">
        <v>77</v>
      </c>
      <c r="AX58" s="14">
        <v>19</v>
      </c>
      <c r="AY58" s="22">
        <f t="shared" si="16"/>
        <v>0</v>
      </c>
      <c r="AZ58" s="10"/>
      <c r="BA58" s="2"/>
      <c r="BB58" s="2"/>
      <c r="BC58" s="2"/>
      <c r="BD58" s="2"/>
      <c r="BE58" s="2"/>
      <c r="BF58" s="6">
        <v>50</v>
      </c>
      <c r="BG58" s="95" t="s">
        <v>77</v>
      </c>
      <c r="BH58" s="14">
        <v>19</v>
      </c>
      <c r="BI58" s="31">
        <f t="shared" si="17"/>
        <v>0.2970563699073967</v>
      </c>
      <c r="BJ58" s="31">
        <f t="shared" si="18"/>
        <v>46922.46437434073</v>
      </c>
      <c r="BK58" s="30">
        <f t="shared" si="19"/>
        <v>13201.865877874288</v>
      </c>
      <c r="BL58" s="106">
        <f t="shared" si="20"/>
        <v>18924.335213107053</v>
      </c>
      <c r="BM58" s="6">
        <v>50</v>
      </c>
      <c r="BN58" s="95" t="s">
        <v>77</v>
      </c>
      <c r="BO58" s="14">
        <v>19</v>
      </c>
      <c r="BP58" s="30">
        <f t="shared" si="34"/>
        <v>265126.6902023016</v>
      </c>
      <c r="BQ58" s="30"/>
      <c r="BR58" s="22">
        <f t="shared" si="21"/>
        <v>2841.469751993347</v>
      </c>
      <c r="BS58" s="2">
        <f>28000/37*2</f>
        <v>1513.5135135135135</v>
      </c>
      <c r="BT58" s="2">
        <f>151689.01/37*2</f>
        <v>8199.405945945946</v>
      </c>
      <c r="BU58" s="2">
        <f>40499.84/37*2</f>
        <v>2189.1805405405403</v>
      </c>
      <c r="BV58" s="2">
        <f>4353627.16/37*2</f>
        <v>235331.19783783786</v>
      </c>
      <c r="BW58" s="6">
        <v>50</v>
      </c>
      <c r="BX58" s="95" t="s">
        <v>77</v>
      </c>
      <c r="BY58" s="14">
        <v>19</v>
      </c>
      <c r="BZ58" s="30">
        <f t="shared" si="22"/>
        <v>585.1758835758835</v>
      </c>
      <c r="CA58" s="2"/>
      <c r="CB58" s="2"/>
      <c r="CC58" s="2"/>
      <c r="CD58" s="2">
        <v>9343.22</v>
      </c>
      <c r="CE58" s="30">
        <f t="shared" si="23"/>
        <v>5123.52672889452</v>
      </c>
      <c r="CF58" s="6">
        <v>50</v>
      </c>
      <c r="CG58" s="95" t="s">
        <v>77</v>
      </c>
      <c r="CH58" s="14">
        <v>19</v>
      </c>
      <c r="CI58" s="46">
        <f t="shared" si="4"/>
        <v>327564.83414396056</v>
      </c>
      <c r="CJ58" s="38">
        <f t="shared" si="24"/>
        <v>1.0694029316666283</v>
      </c>
      <c r="CK58" s="30">
        <f t="shared" si="25"/>
        <v>233207.8126197082</v>
      </c>
      <c r="CL58" s="30">
        <f t="shared" si="26"/>
        <v>65813.62973308143</v>
      </c>
      <c r="CM58" s="30">
        <f t="shared" si="27"/>
        <v>28543.391791170943</v>
      </c>
      <c r="CN58" s="6">
        <v>50</v>
      </c>
      <c r="CO58" s="95" t="s">
        <v>77</v>
      </c>
      <c r="CP58" s="14">
        <v>19</v>
      </c>
      <c r="CQ58" s="30">
        <f t="shared" si="28"/>
        <v>111421.61751017197</v>
      </c>
      <c r="CR58" s="22">
        <f t="shared" si="29"/>
        <v>9306.148200053254</v>
      </c>
      <c r="CS58" s="22">
        <f t="shared" si="30"/>
        <v>35946.63172220807</v>
      </c>
      <c r="CT58" s="109">
        <f t="shared" si="31"/>
        <v>1405.0123574655886</v>
      </c>
      <c r="CU58" s="126">
        <f>217720.13+85678.66</f>
        <v>303398.79000000004</v>
      </c>
      <c r="CV58" s="127">
        <f>76184.04+217618.68</f>
        <v>293802.72</v>
      </c>
      <c r="CW58" s="84">
        <v>50</v>
      </c>
      <c r="CX58" s="95" t="s">
        <v>77</v>
      </c>
      <c r="CY58" s="14">
        <v>19</v>
      </c>
      <c r="CZ58" s="116">
        <v>7.3</v>
      </c>
      <c r="DA58" s="2">
        <v>247281.66</v>
      </c>
      <c r="DB58" s="2">
        <f>223525.19-42.34</f>
        <v>223482.85</v>
      </c>
      <c r="DC58" s="15"/>
      <c r="DD58" s="11"/>
      <c r="DE58" s="112"/>
      <c r="DF58" s="84">
        <v>50</v>
      </c>
      <c r="DG58" s="95" t="s">
        <v>77</v>
      </c>
      <c r="DH58" s="14">
        <v>19</v>
      </c>
      <c r="DI58" s="132">
        <v>7.3</v>
      </c>
      <c r="DJ58" s="52">
        <f>7181.28+76788.7</f>
        <v>83969.98</v>
      </c>
      <c r="DK58" s="134">
        <f>65271.52+8878.8</f>
        <v>74150.31999999999</v>
      </c>
      <c r="DL58" s="23"/>
      <c r="DM58" s="23"/>
    </row>
    <row r="59" spans="1:117" ht="12" customHeight="1">
      <c r="A59" s="6">
        <v>51</v>
      </c>
      <c r="B59" s="6" t="s">
        <v>77</v>
      </c>
      <c r="C59" s="8">
        <v>61</v>
      </c>
      <c r="D59" s="52">
        <v>3911</v>
      </c>
      <c r="E59" s="44">
        <v>1982</v>
      </c>
      <c r="F59" s="45">
        <v>6</v>
      </c>
      <c r="G59" s="45">
        <v>5</v>
      </c>
      <c r="H59" s="45"/>
      <c r="I59" s="45">
        <v>90</v>
      </c>
      <c r="J59" s="45"/>
      <c r="K59" s="46">
        <v>521</v>
      </c>
      <c r="L59" s="47">
        <f>1542.2+96.6</f>
        <v>1638.8</v>
      </c>
      <c r="M59" s="48">
        <v>0</v>
      </c>
      <c r="N59" s="48">
        <v>0</v>
      </c>
      <c r="O59" s="48">
        <v>7378</v>
      </c>
      <c r="P59" s="45"/>
      <c r="Q59" s="49" t="s">
        <v>43</v>
      </c>
      <c r="R59" s="6">
        <v>51</v>
      </c>
      <c r="S59" s="95" t="s">
        <v>77</v>
      </c>
      <c r="T59" s="14">
        <v>61</v>
      </c>
      <c r="U59" s="50" t="s">
        <v>44</v>
      </c>
      <c r="V59" s="48">
        <v>1094</v>
      </c>
      <c r="W59" s="31">
        <f t="shared" si="5"/>
        <v>-26082.350000000093</v>
      </c>
      <c r="X59" s="3">
        <v>945891.04</v>
      </c>
      <c r="Y59" s="3">
        <v>919808.69</v>
      </c>
      <c r="Z59" s="104">
        <f t="shared" si="6"/>
        <v>97.24256294889948</v>
      </c>
      <c r="AA59" s="3">
        <f t="shared" si="7"/>
        <v>-113644.37949512736</v>
      </c>
      <c r="AB59" s="3">
        <f t="shared" si="8"/>
        <v>1033453.0694951273</v>
      </c>
      <c r="AC59" s="32">
        <f t="shared" si="35"/>
        <v>875807.6860128198</v>
      </c>
      <c r="AD59" s="6">
        <v>51</v>
      </c>
      <c r="AE59" s="95" t="s">
        <v>77</v>
      </c>
      <c r="AF59" s="14">
        <v>61</v>
      </c>
      <c r="AG59" s="2">
        <f t="shared" si="9"/>
        <v>200062.44062836535</v>
      </c>
      <c r="AH59" s="2">
        <f>2.03*1.078</f>
        <v>2.1883399999999997</v>
      </c>
      <c r="AI59" s="30">
        <f t="shared" si="10"/>
        <v>152477.99987083324</v>
      </c>
      <c r="AJ59" s="30">
        <f t="shared" si="11"/>
        <v>36091.51944675781</v>
      </c>
      <c r="AK59" s="2">
        <f t="shared" si="1"/>
        <v>188569.51931759104</v>
      </c>
      <c r="AL59" s="30">
        <f t="shared" si="12"/>
        <v>11492.921310774307</v>
      </c>
      <c r="AM59" s="6">
        <v>51</v>
      </c>
      <c r="AN59" s="95" t="s">
        <v>77</v>
      </c>
      <c r="AO59" s="14">
        <v>61</v>
      </c>
      <c r="AP59" s="30">
        <f t="shared" si="2"/>
        <v>242327.8429124754</v>
      </c>
      <c r="AQ59" s="2">
        <f>(0.922+0.018)*1.003</f>
        <v>0.94282</v>
      </c>
      <c r="AR59" s="30">
        <f t="shared" si="13"/>
        <v>121206.6353749137</v>
      </c>
      <c r="AS59" s="30">
        <f t="shared" si="14"/>
        <v>33494.40668788282</v>
      </c>
      <c r="AT59" s="9">
        <v>23592.35</v>
      </c>
      <c r="AU59" s="22">
        <f t="shared" si="15"/>
        <v>1822.4418436301457</v>
      </c>
      <c r="AV59" s="6">
        <v>51</v>
      </c>
      <c r="AW59" s="95" t="s">
        <v>77</v>
      </c>
      <c r="AX59" s="14">
        <v>61</v>
      </c>
      <c r="AY59" s="22">
        <f t="shared" si="16"/>
        <v>6514.65</v>
      </c>
      <c r="AZ59" s="2"/>
      <c r="BA59" s="2">
        <v>6514.65</v>
      </c>
      <c r="BB59" s="2"/>
      <c r="BC59" s="2"/>
      <c r="BD59" s="2"/>
      <c r="BE59" s="2"/>
      <c r="BF59" s="6">
        <v>51</v>
      </c>
      <c r="BG59" s="95" t="s">
        <v>77</v>
      </c>
      <c r="BH59" s="14">
        <v>61</v>
      </c>
      <c r="BI59" s="31">
        <f t="shared" si="17"/>
        <v>0.2093046755738607</v>
      </c>
      <c r="BJ59" s="31">
        <f t="shared" si="18"/>
        <v>33061.37210947207</v>
      </c>
      <c r="BK59" s="30">
        <f t="shared" si="19"/>
        <v>9301.97947076339</v>
      </c>
      <c r="BL59" s="106">
        <f t="shared" si="20"/>
        <v>13334.007425813264</v>
      </c>
      <c r="BM59" s="6">
        <v>51</v>
      </c>
      <c r="BN59" s="95" t="s">
        <v>77</v>
      </c>
      <c r="BO59" s="14">
        <v>61</v>
      </c>
      <c r="BP59" s="30">
        <f t="shared" si="34"/>
        <v>91234.49977045953</v>
      </c>
      <c r="BQ59" s="30"/>
      <c r="BR59" s="22">
        <f t="shared" si="21"/>
        <v>2002.087700658652</v>
      </c>
      <c r="BS59" s="2"/>
      <c r="BT59" s="2"/>
      <c r="BU59" s="2"/>
      <c r="BV59" s="2"/>
      <c r="BW59" s="6">
        <v>51</v>
      </c>
      <c r="BX59" s="95" t="s">
        <v>77</v>
      </c>
      <c r="BY59" s="14">
        <v>61</v>
      </c>
      <c r="BZ59" s="30">
        <f t="shared" si="22"/>
        <v>487.6465696465696</v>
      </c>
      <c r="CA59" s="2"/>
      <c r="CB59" s="2"/>
      <c r="CC59" s="2">
        <v>72260.17</v>
      </c>
      <c r="CD59" s="2">
        <v>12874.58</v>
      </c>
      <c r="CE59" s="30">
        <f t="shared" si="23"/>
        <v>3610.015500154299</v>
      </c>
      <c r="CF59" s="6">
        <v>51</v>
      </c>
      <c r="CG59" s="95" t="s">
        <v>77</v>
      </c>
      <c r="CH59" s="14">
        <v>61</v>
      </c>
      <c r="CI59" s="46">
        <f t="shared" si="4"/>
        <v>230800.81185022247</v>
      </c>
      <c r="CJ59" s="38">
        <f t="shared" si="24"/>
        <v>0.7534968320658986</v>
      </c>
      <c r="CK59" s="30">
        <f t="shared" si="25"/>
        <v>164317.24920382633</v>
      </c>
      <c r="CL59" s="30">
        <f t="shared" si="26"/>
        <v>46372.0081946568</v>
      </c>
      <c r="CM59" s="30">
        <f t="shared" si="27"/>
        <v>20111.55445173934</v>
      </c>
      <c r="CN59" s="6">
        <v>51</v>
      </c>
      <c r="CO59" s="95" t="s">
        <v>77</v>
      </c>
      <c r="CP59" s="14">
        <v>61</v>
      </c>
      <c r="CQ59" s="30">
        <f t="shared" si="28"/>
        <v>78507.2055924987</v>
      </c>
      <c r="CR59" s="22">
        <f t="shared" si="29"/>
        <v>6557.073091755685</v>
      </c>
      <c r="CS59" s="22">
        <f t="shared" si="30"/>
        <v>25327.84633749901</v>
      </c>
      <c r="CT59" s="109">
        <f t="shared" si="31"/>
        <v>989.9658295436462</v>
      </c>
      <c r="CU59" s="126">
        <f>153372.08+60286.4</f>
        <v>213658.47999999998</v>
      </c>
      <c r="CV59" s="127">
        <f>52828.79+154134.94</f>
        <v>206963.73</v>
      </c>
      <c r="CW59" s="84">
        <v>51</v>
      </c>
      <c r="CX59" s="95" t="s">
        <v>77</v>
      </c>
      <c r="CY59" s="14">
        <v>61</v>
      </c>
      <c r="CZ59" s="116">
        <v>7.3</v>
      </c>
      <c r="DA59" s="2">
        <v>176589.92</v>
      </c>
      <c r="DB59" s="2">
        <v>157100.22</v>
      </c>
      <c r="DC59" s="15"/>
      <c r="DD59" s="57"/>
      <c r="DE59" s="112"/>
      <c r="DF59" s="84">
        <v>51</v>
      </c>
      <c r="DG59" s="95" t="s">
        <v>77</v>
      </c>
      <c r="DH59" s="14">
        <v>61</v>
      </c>
      <c r="DI59" s="132">
        <v>7.3</v>
      </c>
      <c r="DJ59" s="52">
        <f>4122.28+51438.72</f>
        <v>55561</v>
      </c>
      <c r="DK59" s="134">
        <f>42914.46+5826.21</f>
        <v>48740.67</v>
      </c>
      <c r="DL59" s="23"/>
      <c r="DM59" s="23"/>
    </row>
    <row r="60" spans="1:117" ht="12" customHeight="1">
      <c r="A60" s="6">
        <v>52</v>
      </c>
      <c r="B60" s="6" t="s">
        <v>77</v>
      </c>
      <c r="C60" s="8" t="s">
        <v>80</v>
      </c>
      <c r="D60" s="52">
        <v>3972.3</v>
      </c>
      <c r="E60" s="44">
        <v>1987</v>
      </c>
      <c r="F60" s="45">
        <v>6</v>
      </c>
      <c r="G60" s="45">
        <v>5</v>
      </c>
      <c r="H60" s="45"/>
      <c r="I60" s="45">
        <v>90</v>
      </c>
      <c r="J60" s="45"/>
      <c r="K60" s="46">
        <v>517</v>
      </c>
      <c r="L60" s="47">
        <f>1011.4+88.2</f>
        <v>1099.6</v>
      </c>
      <c r="M60" s="48">
        <v>243.3</v>
      </c>
      <c r="N60" s="48">
        <v>1750</v>
      </c>
      <c r="O60" s="48">
        <v>2021</v>
      </c>
      <c r="P60" s="45"/>
      <c r="Q60" s="49" t="s">
        <v>43</v>
      </c>
      <c r="R60" s="6">
        <v>52</v>
      </c>
      <c r="S60" s="95" t="s">
        <v>77</v>
      </c>
      <c r="T60" s="14" t="s">
        <v>80</v>
      </c>
      <c r="U60" s="50" t="s">
        <v>44</v>
      </c>
      <c r="V60" s="48">
        <v>1095</v>
      </c>
      <c r="W60" s="31">
        <f t="shared" si="5"/>
        <v>-19370.540000000037</v>
      </c>
      <c r="X60" s="3">
        <v>961674.06</v>
      </c>
      <c r="Y60" s="3">
        <v>942303.52</v>
      </c>
      <c r="Z60" s="104">
        <f t="shared" si="6"/>
        <v>97.9857478946661</v>
      </c>
      <c r="AA60" s="3">
        <f t="shared" si="7"/>
        <v>-70046.05224488745</v>
      </c>
      <c r="AB60" s="3">
        <f t="shared" si="8"/>
        <v>1012349.5722448875</v>
      </c>
      <c r="AC60" s="32">
        <f t="shared" si="35"/>
        <v>857923.3663092267</v>
      </c>
      <c r="AD60" s="6">
        <v>52</v>
      </c>
      <c r="AE60" s="95" t="s">
        <v>77</v>
      </c>
      <c r="AF60" s="14" t="s">
        <v>80</v>
      </c>
      <c r="AG60" s="2">
        <f t="shared" si="9"/>
        <v>201047.96989254453</v>
      </c>
      <c r="AH60" s="2">
        <f>2.04*1.078</f>
        <v>2.19912</v>
      </c>
      <c r="AI60" s="30">
        <f t="shared" si="10"/>
        <v>153229.12302290634</v>
      </c>
      <c r="AJ60" s="30">
        <f t="shared" si="11"/>
        <v>36269.31018294874</v>
      </c>
      <c r="AK60" s="2">
        <f t="shared" si="1"/>
        <v>189498.43320585508</v>
      </c>
      <c r="AL60" s="30">
        <f t="shared" si="12"/>
        <v>11549.536686689455</v>
      </c>
      <c r="AM60" s="6">
        <v>52</v>
      </c>
      <c r="AN60" s="95" t="s">
        <v>77</v>
      </c>
      <c r="AO60" s="14" t="s">
        <v>80</v>
      </c>
      <c r="AP60" s="30">
        <f t="shared" si="2"/>
        <v>218006.74519455928</v>
      </c>
      <c r="AQ60" s="2">
        <f>(0.93+0.018)*1.003</f>
        <v>0.9508439999999999</v>
      </c>
      <c r="AR60" s="30">
        <f t="shared" si="13"/>
        <v>122238.18120789168</v>
      </c>
      <c r="AS60" s="30">
        <f t="shared" si="14"/>
        <v>33779.46546820523</v>
      </c>
      <c r="AT60" s="9">
        <v>3578.43</v>
      </c>
      <c r="AU60" s="22">
        <f t="shared" si="15"/>
        <v>1840.3235479363423</v>
      </c>
      <c r="AV60" s="6">
        <v>52</v>
      </c>
      <c r="AW60" s="95" t="s">
        <v>77</v>
      </c>
      <c r="AX60" s="14" t="s">
        <v>80</v>
      </c>
      <c r="AY60" s="22">
        <f t="shared" si="16"/>
        <v>0</v>
      </c>
      <c r="AZ60" s="10"/>
      <c r="BA60" s="2"/>
      <c r="BB60" s="2"/>
      <c r="BC60" s="2"/>
      <c r="BD60" s="2"/>
      <c r="BE60" s="2"/>
      <c r="BF60" s="6">
        <v>52</v>
      </c>
      <c r="BG60" s="95" t="s">
        <v>77</v>
      </c>
      <c r="BH60" s="14" t="s">
        <v>80</v>
      </c>
      <c r="BI60" s="31">
        <f t="shared" si="17"/>
        <v>0.21258526279264817</v>
      </c>
      <c r="BJ60" s="31">
        <f t="shared" si="18"/>
        <v>33579.567484136</v>
      </c>
      <c r="BK60" s="30">
        <f t="shared" si="19"/>
        <v>9447.776285275739</v>
      </c>
      <c r="BL60" s="106">
        <f t="shared" si="20"/>
        <v>13543.001201114303</v>
      </c>
      <c r="BM60" s="6">
        <v>52</v>
      </c>
      <c r="BN60" s="95" t="s">
        <v>77</v>
      </c>
      <c r="BO60" s="14" t="s">
        <v>80</v>
      </c>
      <c r="BP60" s="30">
        <f t="shared" si="34"/>
        <v>91322.4624209862</v>
      </c>
      <c r="BQ60" s="30"/>
      <c r="BR60" s="22">
        <f t="shared" si="21"/>
        <v>2033.4679042000419</v>
      </c>
      <c r="BS60" s="2"/>
      <c r="BT60" s="2"/>
      <c r="BU60" s="2"/>
      <c r="BV60" s="2"/>
      <c r="BW60" s="6">
        <v>52</v>
      </c>
      <c r="BX60" s="95" t="s">
        <v>77</v>
      </c>
      <c r="BY60" s="14" t="s">
        <v>80</v>
      </c>
      <c r="BZ60" s="30">
        <f t="shared" si="22"/>
        <v>487.6465696465696</v>
      </c>
      <c r="CA60" s="2"/>
      <c r="CB60" s="2"/>
      <c r="CC60" s="2">
        <v>72260.17</v>
      </c>
      <c r="CD60" s="2">
        <v>12874.58</v>
      </c>
      <c r="CE60" s="30">
        <f t="shared" si="23"/>
        <v>3666.5979471395863</v>
      </c>
      <c r="CF60" s="6">
        <v>52</v>
      </c>
      <c r="CG60" s="95" t="s">
        <v>77</v>
      </c>
      <c r="CH60" s="14" t="s">
        <v>80</v>
      </c>
      <c r="CI60" s="46">
        <f t="shared" si="4"/>
        <v>234418.32393572968</v>
      </c>
      <c r="CJ60" s="38">
        <f t="shared" si="24"/>
        <v>0.7653069460535333</v>
      </c>
      <c r="CK60" s="30">
        <f t="shared" si="25"/>
        <v>166892.7151655227</v>
      </c>
      <c r="CL60" s="30">
        <f t="shared" si="26"/>
        <v>47098.831028288216</v>
      </c>
      <c r="CM60" s="30">
        <f t="shared" si="27"/>
        <v>20426.777741918737</v>
      </c>
      <c r="CN60" s="6">
        <v>52</v>
      </c>
      <c r="CO60" s="95" t="s">
        <v>77</v>
      </c>
      <c r="CP60" s="14" t="s">
        <v>80</v>
      </c>
      <c r="CQ60" s="30">
        <f t="shared" si="28"/>
        <v>79737.70717849211</v>
      </c>
      <c r="CR60" s="22">
        <f t="shared" si="29"/>
        <v>6659.846955351855</v>
      </c>
      <c r="CS60" s="22">
        <f t="shared" si="30"/>
        <v>25724.828434274437</v>
      </c>
      <c r="CT60" s="109">
        <f t="shared" si="31"/>
        <v>1005.4822972887308</v>
      </c>
      <c r="CU60" s="126">
        <f>155936.78+61288.96</f>
        <v>217225.74</v>
      </c>
      <c r="CV60" s="127">
        <f>54076.44+157817.59</f>
        <v>211894.03</v>
      </c>
      <c r="CW60" s="84">
        <v>52</v>
      </c>
      <c r="CX60" s="95" t="s">
        <v>77</v>
      </c>
      <c r="CY60" s="14" t="s">
        <v>80</v>
      </c>
      <c r="CZ60" s="116">
        <v>7.3</v>
      </c>
      <c r="DA60" s="2">
        <v>176281.86</v>
      </c>
      <c r="DB60" s="2">
        <f>163326.03+274.1</f>
        <v>163600.13</v>
      </c>
      <c r="DC60" s="15"/>
      <c r="DD60" s="11"/>
      <c r="DE60" s="112"/>
      <c r="DF60" s="84">
        <v>52</v>
      </c>
      <c r="DG60" s="95" t="s">
        <v>77</v>
      </c>
      <c r="DH60" s="14" t="s">
        <v>80</v>
      </c>
      <c r="DI60" s="132">
        <v>7.3</v>
      </c>
      <c r="DJ60" s="52">
        <f>4742+55536.08</f>
        <v>60278.08</v>
      </c>
      <c r="DK60" s="134">
        <f>41362.8+7185.55</f>
        <v>48548.350000000006</v>
      </c>
      <c r="DL60" s="23"/>
      <c r="DM60" s="23"/>
    </row>
    <row r="61" spans="1:117" ht="12" customHeight="1">
      <c r="A61" s="6">
        <v>53</v>
      </c>
      <c r="B61" s="6" t="s">
        <v>77</v>
      </c>
      <c r="C61" s="8" t="s">
        <v>81</v>
      </c>
      <c r="D61" s="2">
        <v>4339.46</v>
      </c>
      <c r="E61" s="44">
        <v>1995</v>
      </c>
      <c r="F61" s="45">
        <v>4</v>
      </c>
      <c r="G61" s="45">
        <v>5</v>
      </c>
      <c r="H61" s="45"/>
      <c r="I61" s="45">
        <v>80</v>
      </c>
      <c r="J61" s="45"/>
      <c r="K61" s="46">
        <v>496.3</v>
      </c>
      <c r="L61" s="47">
        <f>1325.1+78.4</f>
        <v>1403.5</v>
      </c>
      <c r="M61" s="48">
        <v>837.6</v>
      </c>
      <c r="N61" s="48">
        <v>820</v>
      </c>
      <c r="O61" s="48">
        <v>5924</v>
      </c>
      <c r="P61" s="45"/>
      <c r="Q61" s="49" t="s">
        <v>43</v>
      </c>
      <c r="R61" s="6">
        <v>53</v>
      </c>
      <c r="S61" s="95" t="s">
        <v>77</v>
      </c>
      <c r="T61" s="14" t="s">
        <v>81</v>
      </c>
      <c r="U61" s="50" t="s">
        <v>44</v>
      </c>
      <c r="V61" s="48">
        <v>1136.5</v>
      </c>
      <c r="W61" s="31">
        <f t="shared" si="5"/>
        <v>-28849.909999999916</v>
      </c>
      <c r="X61" s="3">
        <v>1055300.93</v>
      </c>
      <c r="Y61" s="3">
        <v>1026451.02</v>
      </c>
      <c r="Z61" s="104">
        <f t="shared" si="6"/>
        <v>97.26619117070237</v>
      </c>
      <c r="AA61" s="3">
        <f t="shared" si="7"/>
        <v>-208373.25469821924</v>
      </c>
      <c r="AB61" s="3">
        <f t="shared" si="8"/>
        <v>1234824.2746982193</v>
      </c>
      <c r="AC61" s="32">
        <f t="shared" si="35"/>
        <v>1046461.2497442536</v>
      </c>
      <c r="AD61" s="6">
        <v>53</v>
      </c>
      <c r="AE61" s="95" t="s">
        <v>77</v>
      </c>
      <c r="AF61" s="14" t="s">
        <v>81</v>
      </c>
      <c r="AG61" s="2">
        <f t="shared" si="9"/>
        <v>235541.49413881442</v>
      </c>
      <c r="AH61" s="2">
        <f>2.39*1.078</f>
        <v>2.57642</v>
      </c>
      <c r="AI61" s="30">
        <f t="shared" si="10"/>
        <v>179518.4333454638</v>
      </c>
      <c r="AJ61" s="30">
        <f t="shared" si="11"/>
        <v>42491.985949631126</v>
      </c>
      <c r="AK61" s="2">
        <f t="shared" si="1"/>
        <v>222010.4192950949</v>
      </c>
      <c r="AL61" s="30">
        <f t="shared" si="12"/>
        <v>13531.074843719507</v>
      </c>
      <c r="AM61" s="6">
        <v>53</v>
      </c>
      <c r="AN61" s="95" t="s">
        <v>77</v>
      </c>
      <c r="AO61" s="14" t="s">
        <v>81</v>
      </c>
      <c r="AP61" s="30">
        <f t="shared" si="2"/>
        <v>369235.3283615536</v>
      </c>
      <c r="AQ61" s="2">
        <f>(0.961+0.02)*1.003</f>
        <v>0.9839429999999999</v>
      </c>
      <c r="AR61" s="30">
        <f t="shared" si="13"/>
        <v>126493.3077689259</v>
      </c>
      <c r="AS61" s="30">
        <f t="shared" si="14"/>
        <v>34955.33293703516</v>
      </c>
      <c r="AT61" s="9">
        <v>91263.59</v>
      </c>
      <c r="AU61" s="22">
        <f t="shared" si="15"/>
        <v>1923.761270425528</v>
      </c>
      <c r="AV61" s="6">
        <v>53</v>
      </c>
      <c r="AW61" s="95" t="s">
        <v>77</v>
      </c>
      <c r="AX61" s="14" t="s">
        <v>81</v>
      </c>
      <c r="AY61" s="22">
        <f t="shared" si="16"/>
        <v>52800.19</v>
      </c>
      <c r="AZ61" s="10"/>
      <c r="BA61" s="2">
        <v>52800.19</v>
      </c>
      <c r="BB61" s="2"/>
      <c r="BC61" s="2"/>
      <c r="BD61" s="2"/>
      <c r="BE61" s="2"/>
      <c r="BF61" s="6">
        <v>53</v>
      </c>
      <c r="BG61" s="95" t="s">
        <v>77</v>
      </c>
      <c r="BH61" s="14" t="s">
        <v>81</v>
      </c>
      <c r="BI61" s="31">
        <f t="shared" si="17"/>
        <v>0.23223453527633484</v>
      </c>
      <c r="BJ61" s="31">
        <f t="shared" si="18"/>
        <v>36683.32953571201</v>
      </c>
      <c r="BK61" s="30">
        <f t="shared" si="19"/>
        <v>10321.034987010713</v>
      </c>
      <c r="BL61" s="106">
        <f t="shared" si="20"/>
        <v>14794.781862444293</v>
      </c>
      <c r="BM61" s="6">
        <v>53</v>
      </c>
      <c r="BN61" s="95" t="s">
        <v>77</v>
      </c>
      <c r="BO61" s="14" t="s">
        <v>81</v>
      </c>
      <c r="BP61" s="30">
        <f t="shared" si="34"/>
        <v>62014.51700171312</v>
      </c>
      <c r="BQ61" s="30"/>
      <c r="BR61" s="22">
        <f t="shared" si="21"/>
        <v>2221.421501789873</v>
      </c>
      <c r="BS61" s="2"/>
      <c r="BT61" s="2"/>
      <c r="BU61" s="2"/>
      <c r="BV61" s="2"/>
      <c r="BW61" s="6">
        <v>53</v>
      </c>
      <c r="BX61" s="95" t="s">
        <v>77</v>
      </c>
      <c r="BY61" s="14" t="s">
        <v>81</v>
      </c>
      <c r="BZ61" s="30">
        <f t="shared" si="22"/>
        <v>433.4636174636174</v>
      </c>
      <c r="CA61" s="2"/>
      <c r="CB61" s="2"/>
      <c r="CC61" s="2">
        <v>44252.44</v>
      </c>
      <c r="CD61" s="2">
        <v>11101.69</v>
      </c>
      <c r="CE61" s="30">
        <f t="shared" si="23"/>
        <v>4005.50188245962</v>
      </c>
      <c r="CF61" s="6">
        <v>53</v>
      </c>
      <c r="CG61" s="95" t="s">
        <v>77</v>
      </c>
      <c r="CH61" s="14" t="s">
        <v>81</v>
      </c>
      <c r="CI61" s="46">
        <f t="shared" si="4"/>
        <v>256085.6279702292</v>
      </c>
      <c r="CJ61" s="38">
        <f t="shared" si="24"/>
        <v>0.8360443269948055</v>
      </c>
      <c r="CK61" s="30">
        <f t="shared" si="25"/>
        <v>182318.62189466535</v>
      </c>
      <c r="CL61" s="30">
        <f t="shared" si="26"/>
        <v>51452.17966770274</v>
      </c>
      <c r="CM61" s="30">
        <f t="shared" si="27"/>
        <v>22314.82640786111</v>
      </c>
      <c r="CN61" s="6">
        <v>53</v>
      </c>
      <c r="CO61" s="95" t="s">
        <v>77</v>
      </c>
      <c r="CP61" s="14" t="s">
        <v>81</v>
      </c>
      <c r="CQ61" s="30">
        <f t="shared" si="28"/>
        <v>87107.86969583853</v>
      </c>
      <c r="CR61" s="22">
        <f t="shared" si="29"/>
        <v>7275.417130848919</v>
      </c>
      <c r="CS61" s="22">
        <f t="shared" si="30"/>
        <v>28102.57634050715</v>
      </c>
      <c r="CT61" s="109">
        <f t="shared" si="31"/>
        <v>1098.4191047485224</v>
      </c>
      <c r="CU61" s="126">
        <f>171115.92+67256.32</f>
        <v>238372.24000000002</v>
      </c>
      <c r="CV61" s="127">
        <f>59091.22+168038.54</f>
        <v>227129.76</v>
      </c>
      <c r="CW61" s="84">
        <v>53</v>
      </c>
      <c r="CX61" s="95" t="s">
        <v>77</v>
      </c>
      <c r="CY61" s="14" t="s">
        <v>81</v>
      </c>
      <c r="CZ61" s="116">
        <v>7.3</v>
      </c>
      <c r="DA61" s="2">
        <v>193315.68</v>
      </c>
      <c r="DB61" s="2">
        <f>174403.7+259.61</f>
        <v>174663.31</v>
      </c>
      <c r="DC61" s="15"/>
      <c r="DD61" s="11"/>
      <c r="DE61" s="112"/>
      <c r="DF61" s="84">
        <v>53</v>
      </c>
      <c r="DG61" s="95" t="s">
        <v>77</v>
      </c>
      <c r="DH61" s="14" t="s">
        <v>81</v>
      </c>
      <c r="DI61" s="132">
        <v>7.3</v>
      </c>
      <c r="DJ61" s="52">
        <f>6034.36+62050</f>
        <v>68084.36</v>
      </c>
      <c r="DK61" s="134">
        <f>49452.13+7005.52</f>
        <v>56457.649999999994</v>
      </c>
      <c r="DL61" s="23"/>
      <c r="DM61" s="23"/>
    </row>
    <row r="62" spans="1:117" ht="12" customHeight="1">
      <c r="A62" s="6">
        <v>54</v>
      </c>
      <c r="B62" s="6" t="s">
        <v>82</v>
      </c>
      <c r="C62" s="8">
        <v>14</v>
      </c>
      <c r="D62" s="52">
        <v>549.5</v>
      </c>
      <c r="E62" s="44">
        <v>1952</v>
      </c>
      <c r="F62" s="45">
        <v>1</v>
      </c>
      <c r="G62" s="45">
        <v>2</v>
      </c>
      <c r="H62" s="45"/>
      <c r="I62" s="45">
        <v>8</v>
      </c>
      <c r="J62" s="45"/>
      <c r="K62" s="46">
        <v>54.8</v>
      </c>
      <c r="L62" s="47">
        <f>238+271+35</f>
        <v>544</v>
      </c>
      <c r="M62" s="48">
        <v>0</v>
      </c>
      <c r="N62" s="48">
        <v>0</v>
      </c>
      <c r="O62" s="48">
        <v>1567</v>
      </c>
      <c r="P62" s="45"/>
      <c r="Q62" s="49" t="s">
        <v>68</v>
      </c>
      <c r="R62" s="6">
        <v>54</v>
      </c>
      <c r="S62" s="95" t="s">
        <v>82</v>
      </c>
      <c r="T62" s="14">
        <v>14</v>
      </c>
      <c r="U62" s="50" t="s">
        <v>47</v>
      </c>
      <c r="V62" s="48">
        <v>400</v>
      </c>
      <c r="W62" s="31">
        <f t="shared" si="5"/>
        <v>-11255.289999999994</v>
      </c>
      <c r="X62" s="3">
        <v>89497.17</v>
      </c>
      <c r="Y62" s="3">
        <v>78241.88</v>
      </c>
      <c r="Z62" s="104">
        <f>Y62/X62*100</f>
        <v>87.4238593242669</v>
      </c>
      <c r="AA62" s="3">
        <f t="shared" si="7"/>
        <v>-56636.48230699237</v>
      </c>
      <c r="AB62" s="3">
        <f t="shared" si="8"/>
        <v>134878.36230699238</v>
      </c>
      <c r="AC62" s="32">
        <f t="shared" si="35"/>
        <v>114303.69687033254</v>
      </c>
      <c r="AD62" s="6">
        <v>54</v>
      </c>
      <c r="AE62" s="95" t="s">
        <v>82</v>
      </c>
      <c r="AF62" s="14">
        <v>14</v>
      </c>
      <c r="AG62" s="2">
        <f t="shared" si="9"/>
        <v>42377.75835970302</v>
      </c>
      <c r="AH62" s="2">
        <f>0.43*1.078</f>
        <v>0.46354</v>
      </c>
      <c r="AI62" s="30">
        <f t="shared" si="10"/>
        <v>32298.295539142022</v>
      </c>
      <c r="AJ62" s="30">
        <f t="shared" si="11"/>
        <v>7645.0016562097835</v>
      </c>
      <c r="AK62" s="2">
        <f t="shared" si="1"/>
        <v>39943.297195351806</v>
      </c>
      <c r="AL62" s="30">
        <f t="shared" si="12"/>
        <v>2434.4611643512085</v>
      </c>
      <c r="AM62" s="6">
        <v>54</v>
      </c>
      <c r="AN62" s="95" t="s">
        <v>82</v>
      </c>
      <c r="AO62" s="14">
        <v>14</v>
      </c>
      <c r="AP62" s="30">
        <f t="shared" si="2"/>
        <v>22424.993646369297</v>
      </c>
      <c r="AQ62" s="2">
        <f>(0.054+0.018)*1.003</f>
        <v>0.07221599999999999</v>
      </c>
      <c r="AR62" s="30">
        <f t="shared" si="13"/>
        <v>9283.912496801899</v>
      </c>
      <c r="AS62" s="30">
        <f t="shared" si="14"/>
        <v>2565.5290229016623</v>
      </c>
      <c r="AT62" s="9">
        <v>2589.26</v>
      </c>
      <c r="AU62" s="22">
        <f t="shared" si="15"/>
        <v>160.74910088619905</v>
      </c>
      <c r="AV62" s="6">
        <v>54</v>
      </c>
      <c r="AW62" s="95" t="s">
        <v>82</v>
      </c>
      <c r="AX62" s="14">
        <v>14</v>
      </c>
      <c r="AY62" s="22">
        <f t="shared" si="16"/>
        <v>0</v>
      </c>
      <c r="AZ62" s="2"/>
      <c r="BA62" s="2"/>
      <c r="BB62" s="2"/>
      <c r="BC62" s="2"/>
      <c r="BD62" s="2"/>
      <c r="BE62" s="2"/>
      <c r="BF62" s="6">
        <v>54</v>
      </c>
      <c r="BG62" s="95" t="s">
        <v>82</v>
      </c>
      <c r="BH62" s="14">
        <v>14</v>
      </c>
      <c r="BI62" s="31">
        <f t="shared" si="17"/>
        <v>0.029407547744269104</v>
      </c>
      <c r="BJ62" s="31">
        <f t="shared" si="18"/>
        <v>4645.160821824316</v>
      </c>
      <c r="BK62" s="30">
        <f t="shared" si="19"/>
        <v>1306.938818507922</v>
      </c>
      <c r="BL62" s="106">
        <f t="shared" si="20"/>
        <v>1873.4433854472998</v>
      </c>
      <c r="BM62" s="6">
        <v>54</v>
      </c>
      <c r="BN62" s="95" t="s">
        <v>82</v>
      </c>
      <c r="BO62" s="14">
        <v>14</v>
      </c>
      <c r="BP62" s="30">
        <f t="shared" si="34"/>
        <v>1423.853318751403</v>
      </c>
      <c r="BQ62" s="30"/>
      <c r="BR62" s="22">
        <f t="shared" si="21"/>
        <v>281.2956255463895</v>
      </c>
      <c r="BS62" s="2"/>
      <c r="BT62" s="2"/>
      <c r="BU62" s="2"/>
      <c r="BV62" s="2"/>
      <c r="BW62" s="6">
        <v>54</v>
      </c>
      <c r="BX62" s="95" t="s">
        <v>82</v>
      </c>
      <c r="BY62" s="14">
        <v>14</v>
      </c>
      <c r="BZ62" s="30">
        <f t="shared" si="22"/>
        <v>43.346361746361744</v>
      </c>
      <c r="CA62" s="2">
        <f>18.5*I62*4</f>
        <v>592</v>
      </c>
      <c r="CB62" s="2"/>
      <c r="CC62" s="2"/>
      <c r="CD62" s="2"/>
      <c r="CE62" s="30">
        <f t="shared" si="23"/>
        <v>507.21133145865184</v>
      </c>
      <c r="CF62" s="6">
        <v>54</v>
      </c>
      <c r="CG62" s="95" t="s">
        <v>82</v>
      </c>
      <c r="CH62" s="14">
        <v>14</v>
      </c>
      <c r="CI62" s="46">
        <f t="shared" si="4"/>
        <v>32427.779624571016</v>
      </c>
      <c r="CJ62" s="38">
        <f t="shared" si="24"/>
        <v>0.10586717187936877</v>
      </c>
      <c r="CK62" s="30">
        <f t="shared" si="25"/>
        <v>23086.76257670738</v>
      </c>
      <c r="CL62" s="30">
        <f t="shared" si="26"/>
        <v>6515.320507022222</v>
      </c>
      <c r="CM62" s="30">
        <f t="shared" si="27"/>
        <v>2825.6965408414135</v>
      </c>
      <c r="CN62" s="6">
        <v>54</v>
      </c>
      <c r="CO62" s="95" t="s">
        <v>82</v>
      </c>
      <c r="CP62" s="14">
        <v>14</v>
      </c>
      <c r="CQ62" s="30">
        <f t="shared" si="28"/>
        <v>11030.352716205074</v>
      </c>
      <c r="CR62" s="22">
        <f t="shared" si="29"/>
        <v>921.2763139656735</v>
      </c>
      <c r="CS62" s="22">
        <f t="shared" si="30"/>
        <v>3558.5915526606254</v>
      </c>
      <c r="CT62" s="109">
        <f t="shared" si="31"/>
        <v>139.0913381064264</v>
      </c>
      <c r="CU62" s="126">
        <f>21584.36+8484.28</f>
        <v>30068.64</v>
      </c>
      <c r="CV62" s="127">
        <f>5790.17+20342.04</f>
        <v>26132.21</v>
      </c>
      <c r="CW62" s="84">
        <v>54</v>
      </c>
      <c r="CX62" s="95" t="s">
        <v>82</v>
      </c>
      <c r="CY62" s="14">
        <v>14</v>
      </c>
      <c r="CZ62" s="116">
        <v>0</v>
      </c>
      <c r="DA62" s="2">
        <v>0</v>
      </c>
      <c r="DB62" s="2">
        <v>-575.1</v>
      </c>
      <c r="DC62" s="15"/>
      <c r="DD62" s="11"/>
      <c r="DE62" s="112"/>
      <c r="DF62" s="84">
        <v>54</v>
      </c>
      <c r="DG62" s="95" t="s">
        <v>82</v>
      </c>
      <c r="DH62" s="14">
        <v>14</v>
      </c>
      <c r="DI62" s="132">
        <v>0</v>
      </c>
      <c r="DJ62" s="52">
        <v>0</v>
      </c>
      <c r="DK62" s="134">
        <v>0</v>
      </c>
      <c r="DL62" s="23"/>
      <c r="DM62" s="23"/>
    </row>
    <row r="63" spans="1:117" ht="12" customHeight="1">
      <c r="A63" s="6">
        <v>55</v>
      </c>
      <c r="B63" s="6" t="s">
        <v>82</v>
      </c>
      <c r="C63" s="8">
        <v>15</v>
      </c>
      <c r="D63" s="52">
        <v>4506</v>
      </c>
      <c r="E63" s="44">
        <v>1973</v>
      </c>
      <c r="F63" s="45">
        <v>6</v>
      </c>
      <c r="G63" s="45">
        <v>5</v>
      </c>
      <c r="H63" s="45"/>
      <c r="I63" s="45">
        <v>100</v>
      </c>
      <c r="J63" s="45"/>
      <c r="K63" s="46">
        <v>490</v>
      </c>
      <c r="L63" s="47">
        <f>679+70+138</f>
        <v>887</v>
      </c>
      <c r="M63" s="48">
        <v>388</v>
      </c>
      <c r="N63" s="48">
        <v>899</v>
      </c>
      <c r="O63" s="48">
        <v>2113</v>
      </c>
      <c r="P63" s="45"/>
      <c r="Q63" s="49" t="s">
        <v>46</v>
      </c>
      <c r="R63" s="6">
        <v>55</v>
      </c>
      <c r="S63" s="95" t="s">
        <v>82</v>
      </c>
      <c r="T63" s="14">
        <v>15</v>
      </c>
      <c r="U63" s="50" t="s">
        <v>44</v>
      </c>
      <c r="V63" s="48">
        <v>1234</v>
      </c>
      <c r="W63" s="31">
        <f t="shared" si="5"/>
        <v>-32604.040000000037</v>
      </c>
      <c r="X63" s="3">
        <v>1091417.55</v>
      </c>
      <c r="Y63" s="3">
        <v>1058813.51</v>
      </c>
      <c r="Z63" s="104">
        <f t="shared" si="6"/>
        <v>97.01268868179736</v>
      </c>
      <c r="AA63" s="3">
        <f t="shared" si="7"/>
        <v>-88879.4517128549</v>
      </c>
      <c r="AB63" s="3">
        <f t="shared" si="8"/>
        <v>1147692.961712855</v>
      </c>
      <c r="AC63" s="32">
        <f t="shared" si="35"/>
        <v>972621.153993945</v>
      </c>
      <c r="AD63" s="6">
        <v>55</v>
      </c>
      <c r="AE63" s="95" t="s">
        <v>82</v>
      </c>
      <c r="AF63" s="14">
        <v>15</v>
      </c>
      <c r="AG63" s="2">
        <f t="shared" si="9"/>
        <v>160641.27006119982</v>
      </c>
      <c r="AH63" s="2">
        <f>1.63*1.078</f>
        <v>1.75714</v>
      </c>
      <c r="AI63" s="30">
        <f t="shared" si="10"/>
        <v>122433.07378791046</v>
      </c>
      <c r="AJ63" s="30">
        <f t="shared" si="11"/>
        <v>28979.88999912081</v>
      </c>
      <c r="AK63" s="2">
        <f t="shared" si="1"/>
        <v>151412.96378703127</v>
      </c>
      <c r="AL63" s="30">
        <f t="shared" si="12"/>
        <v>9228.306274168533</v>
      </c>
      <c r="AM63" s="6">
        <v>55</v>
      </c>
      <c r="AN63" s="95" t="s">
        <v>82</v>
      </c>
      <c r="AO63" s="14">
        <v>15</v>
      </c>
      <c r="AP63" s="30">
        <f t="shared" si="2"/>
        <v>338471.08395172097</v>
      </c>
      <c r="AQ63" s="2">
        <f>(1.499+0.02)*1.003</f>
        <v>1.523557</v>
      </c>
      <c r="AR63" s="30">
        <f t="shared" si="13"/>
        <v>195864.76503669567</v>
      </c>
      <c r="AS63" s="30">
        <f t="shared" si="14"/>
        <v>54125.53591371703</v>
      </c>
      <c r="AT63" s="9">
        <v>15380.44</v>
      </c>
      <c r="AU63" s="22">
        <f t="shared" si="15"/>
        <v>2791.4260692562866</v>
      </c>
      <c r="AV63" s="6">
        <v>55</v>
      </c>
      <c r="AW63" s="95" t="s">
        <v>82</v>
      </c>
      <c r="AX63" s="14">
        <v>15</v>
      </c>
      <c r="AY63" s="22">
        <f t="shared" si="16"/>
        <v>6138.04</v>
      </c>
      <c r="AZ63" s="10"/>
      <c r="BA63" s="2"/>
      <c r="BB63" s="2">
        <v>6138.04</v>
      </c>
      <c r="BC63" s="2"/>
      <c r="BD63" s="2"/>
      <c r="BE63" s="2"/>
      <c r="BF63" s="6">
        <v>55</v>
      </c>
      <c r="BG63" s="95" t="s">
        <v>82</v>
      </c>
      <c r="BH63" s="14">
        <v>15</v>
      </c>
      <c r="BI63" s="31">
        <f t="shared" si="17"/>
        <v>0.24114724319504383</v>
      </c>
      <c r="BJ63" s="31">
        <f t="shared" si="18"/>
        <v>38091.16408214808</v>
      </c>
      <c r="BK63" s="30">
        <f t="shared" si="19"/>
        <v>10717.136153224197</v>
      </c>
      <c r="BL63" s="106">
        <f t="shared" si="20"/>
        <v>15362.576696679767</v>
      </c>
      <c r="BM63" s="6">
        <v>55</v>
      </c>
      <c r="BN63" s="95" t="s">
        <v>82</v>
      </c>
      <c r="BO63" s="14">
        <v>15</v>
      </c>
      <c r="BP63" s="30">
        <f t="shared" si="34"/>
        <v>79267.90006462246</v>
      </c>
      <c r="BQ63" s="30"/>
      <c r="BR63" s="22">
        <f t="shared" si="21"/>
        <v>2306.6753206770354</v>
      </c>
      <c r="BS63" s="2"/>
      <c r="BT63" s="2"/>
      <c r="BU63" s="2"/>
      <c r="BV63" s="2"/>
      <c r="BW63" s="6">
        <v>55</v>
      </c>
      <c r="BX63" s="95" t="s">
        <v>82</v>
      </c>
      <c r="BY63" s="14">
        <v>15</v>
      </c>
      <c r="BZ63" s="30">
        <f t="shared" si="22"/>
        <v>541.8295218295218</v>
      </c>
      <c r="CA63" s="2"/>
      <c r="CB63" s="2"/>
      <c r="CC63" s="2">
        <v>72260.17</v>
      </c>
      <c r="CD63" s="2"/>
      <c r="CE63" s="30">
        <f t="shared" si="23"/>
        <v>4159.225222115896</v>
      </c>
      <c r="CF63" s="6">
        <v>55</v>
      </c>
      <c r="CG63" s="95" t="s">
        <v>82</v>
      </c>
      <c r="CH63" s="14">
        <v>15</v>
      </c>
      <c r="CI63" s="46">
        <f t="shared" si="4"/>
        <v>265913.69424625474</v>
      </c>
      <c r="CJ63" s="38">
        <f t="shared" si="24"/>
        <v>0.8681300755021577</v>
      </c>
      <c r="CK63" s="30">
        <f t="shared" si="25"/>
        <v>189315.6545416623</v>
      </c>
      <c r="CL63" s="30">
        <f t="shared" si="26"/>
        <v>53426.81383920315</v>
      </c>
      <c r="CM63" s="30">
        <f t="shared" si="27"/>
        <v>23171.22586538928</v>
      </c>
      <c r="CN63" s="6">
        <v>55</v>
      </c>
      <c r="CO63" s="95" t="s">
        <v>82</v>
      </c>
      <c r="CP63" s="14">
        <v>15</v>
      </c>
      <c r="CQ63" s="30">
        <f t="shared" si="28"/>
        <v>90450.89961641503</v>
      </c>
      <c r="CR63" s="22">
        <f t="shared" si="29"/>
        <v>7554.633431718516</v>
      </c>
      <c r="CS63" s="22">
        <f t="shared" si="30"/>
        <v>29181.098337195228</v>
      </c>
      <c r="CT63" s="109">
        <f t="shared" si="31"/>
        <v>1140.5742848181208</v>
      </c>
      <c r="CU63" s="126">
        <f>176967.71+69564.18</f>
        <v>246531.88999999998</v>
      </c>
      <c r="CV63" s="127">
        <f>63224.2+175336.92</f>
        <v>238561.12</v>
      </c>
      <c r="CW63" s="84">
        <v>55</v>
      </c>
      <c r="CX63" s="95" t="s">
        <v>82</v>
      </c>
      <c r="CY63" s="14">
        <v>15</v>
      </c>
      <c r="CZ63" s="116">
        <v>7.3</v>
      </c>
      <c r="DA63" s="2">
        <v>224553.12</v>
      </c>
      <c r="DB63" s="2">
        <f>205308.71+102.58</f>
        <v>205411.28999999998</v>
      </c>
      <c r="DC63" s="15"/>
      <c r="DD63" s="11"/>
      <c r="DE63" s="112"/>
      <c r="DF63" s="84">
        <v>55</v>
      </c>
      <c r="DG63" s="95" t="s">
        <v>82</v>
      </c>
      <c r="DH63" s="14">
        <v>15</v>
      </c>
      <c r="DI63" s="132">
        <v>7.3</v>
      </c>
      <c r="DJ63" s="52">
        <f>2992.08+34943.63</f>
        <v>37935.71</v>
      </c>
      <c r="DK63" s="134">
        <f>31058.49+3640.89</f>
        <v>34699.380000000005</v>
      </c>
      <c r="DL63" s="23"/>
      <c r="DM63" s="23"/>
    </row>
    <row r="64" spans="1:117" ht="12" customHeight="1">
      <c r="A64" s="6">
        <v>56</v>
      </c>
      <c r="B64" s="6" t="s">
        <v>82</v>
      </c>
      <c r="C64" s="8">
        <v>16</v>
      </c>
      <c r="D64" s="52">
        <v>383.6</v>
      </c>
      <c r="E64" s="44">
        <v>1956</v>
      </c>
      <c r="F64" s="45">
        <v>2</v>
      </c>
      <c r="G64" s="45">
        <v>2</v>
      </c>
      <c r="H64" s="45"/>
      <c r="I64" s="45">
        <v>8</v>
      </c>
      <c r="J64" s="45"/>
      <c r="K64" s="46">
        <v>56.3</v>
      </c>
      <c r="L64" s="47">
        <v>50</v>
      </c>
      <c r="M64" s="48">
        <v>0</v>
      </c>
      <c r="N64" s="48">
        <v>0</v>
      </c>
      <c r="O64" s="48">
        <v>469</v>
      </c>
      <c r="P64" s="45"/>
      <c r="Q64" s="49" t="s">
        <v>46</v>
      </c>
      <c r="R64" s="6">
        <v>56</v>
      </c>
      <c r="S64" s="95" t="s">
        <v>82</v>
      </c>
      <c r="T64" s="14">
        <v>16</v>
      </c>
      <c r="U64" s="50" t="s">
        <v>47</v>
      </c>
      <c r="V64" s="48">
        <v>360</v>
      </c>
      <c r="W64" s="31">
        <f t="shared" si="5"/>
        <v>569.4599999999991</v>
      </c>
      <c r="X64" s="3">
        <v>62477.04</v>
      </c>
      <c r="Y64" s="3">
        <v>63046.5</v>
      </c>
      <c r="Z64" s="104">
        <f t="shared" si="6"/>
        <v>100.91147083792703</v>
      </c>
      <c r="AA64" s="3">
        <f t="shared" si="7"/>
        <v>-45887.44994080372</v>
      </c>
      <c r="AB64" s="3">
        <f t="shared" si="8"/>
        <v>108933.94994080372</v>
      </c>
      <c r="AC64" s="32">
        <f t="shared" si="35"/>
        <v>92316.90672949469</v>
      </c>
      <c r="AD64" s="6">
        <v>56</v>
      </c>
      <c r="AE64" s="95" t="s">
        <v>82</v>
      </c>
      <c r="AF64" s="14">
        <v>16</v>
      </c>
      <c r="AG64" s="2">
        <f t="shared" si="9"/>
        <v>13797.40969850796</v>
      </c>
      <c r="AH64" s="2">
        <f>0.14*1.078</f>
        <v>0.15092000000000003</v>
      </c>
      <c r="AI64" s="30">
        <f t="shared" si="10"/>
        <v>10515.724129022985</v>
      </c>
      <c r="AJ64" s="30">
        <f t="shared" si="11"/>
        <v>2489.070306672953</v>
      </c>
      <c r="AK64" s="2">
        <f t="shared" si="1"/>
        <v>13004.794435695938</v>
      </c>
      <c r="AL64" s="30">
        <f t="shared" si="12"/>
        <v>792.6152628120215</v>
      </c>
      <c r="AM64" s="6">
        <v>56</v>
      </c>
      <c r="AN64" s="95" t="s">
        <v>82</v>
      </c>
      <c r="AO64" s="14">
        <v>16</v>
      </c>
      <c r="AP64" s="30">
        <f t="shared" si="2"/>
        <v>29637.125472581007</v>
      </c>
      <c r="AQ64" s="2">
        <f>(0.14+0.00211665)*1.003</f>
        <v>0.14254299995</v>
      </c>
      <c r="AR64" s="30">
        <f t="shared" si="13"/>
        <v>18324.979763036416</v>
      </c>
      <c r="AS64" s="30">
        <f t="shared" si="14"/>
        <v>5063.949864063301</v>
      </c>
      <c r="AT64" s="9">
        <v>527.32</v>
      </c>
      <c r="AU64" s="22">
        <f t="shared" si="15"/>
        <v>257.94899436386</v>
      </c>
      <c r="AV64" s="6">
        <v>56</v>
      </c>
      <c r="AW64" s="95" t="s">
        <v>82</v>
      </c>
      <c r="AX64" s="14">
        <v>16</v>
      </c>
      <c r="AY64" s="22">
        <f t="shared" si="16"/>
        <v>0</v>
      </c>
      <c r="AZ64" s="10"/>
      <c r="BA64" s="2"/>
      <c r="BB64" s="2"/>
      <c r="BC64" s="2"/>
      <c r="BD64" s="2"/>
      <c r="BE64" s="2"/>
      <c r="BF64" s="6">
        <v>56</v>
      </c>
      <c r="BG64" s="95" t="s">
        <v>82</v>
      </c>
      <c r="BH64" s="14">
        <v>16</v>
      </c>
      <c r="BI64" s="31">
        <f t="shared" si="17"/>
        <v>0.02052909065459805</v>
      </c>
      <c r="BJ64" s="31">
        <f t="shared" si="18"/>
        <v>3242.7364717958285</v>
      </c>
      <c r="BK64" s="30">
        <f t="shared" si="19"/>
        <v>912.3598376335557</v>
      </c>
      <c r="BL64" s="106">
        <f t="shared" si="20"/>
        <v>1307.8305416880514</v>
      </c>
      <c r="BM64" s="6">
        <v>56</v>
      </c>
      <c r="BN64" s="95" t="s">
        <v>82</v>
      </c>
      <c r="BO64" s="14">
        <v>16</v>
      </c>
      <c r="BP64" s="30">
        <f t="shared" si="34"/>
        <v>15320.274530458162</v>
      </c>
      <c r="BQ64" s="30"/>
      <c r="BR64" s="22">
        <f t="shared" si="21"/>
        <v>196.36943031773433</v>
      </c>
      <c r="BS64" s="2"/>
      <c r="BT64" s="2"/>
      <c r="BU64" s="2"/>
      <c r="BV64" s="2"/>
      <c r="BW64" s="6">
        <v>56</v>
      </c>
      <c r="BX64" s="95" t="s">
        <v>82</v>
      </c>
      <c r="BY64" s="14">
        <v>16</v>
      </c>
      <c r="BZ64" s="30">
        <f t="shared" si="22"/>
        <v>43.346361746361744</v>
      </c>
      <c r="CA64" s="2">
        <f>18.5*I64*4</f>
        <v>592</v>
      </c>
      <c r="CB64" s="2"/>
      <c r="CC64" s="2"/>
      <c r="CD64" s="2">
        <v>14134.48</v>
      </c>
      <c r="CE64" s="30">
        <f t="shared" si="23"/>
        <v>354.0787383940652</v>
      </c>
      <c r="CF64" s="6">
        <v>56</v>
      </c>
      <c r="CG64" s="95" t="s">
        <v>82</v>
      </c>
      <c r="CH64" s="14">
        <v>16</v>
      </c>
      <c r="CI64" s="46">
        <f t="shared" si="4"/>
        <v>22637.48182708907</v>
      </c>
      <c r="CJ64" s="38">
        <f t="shared" si="24"/>
        <v>0.07390472635655299</v>
      </c>
      <c r="CK64" s="30">
        <f t="shared" si="25"/>
        <v>16116.618970746045</v>
      </c>
      <c r="CL64" s="30">
        <f t="shared" si="26"/>
        <v>4548.274697895768</v>
      </c>
      <c r="CM64" s="30">
        <f t="shared" si="27"/>
        <v>1972.5881584472545</v>
      </c>
      <c r="CN64" s="6">
        <v>56</v>
      </c>
      <c r="CO64" s="95" t="s">
        <v>82</v>
      </c>
      <c r="CP64" s="14">
        <v>16</v>
      </c>
      <c r="CQ64" s="30">
        <f t="shared" si="28"/>
        <v>7700.1697942425235</v>
      </c>
      <c r="CR64" s="22">
        <f t="shared" si="29"/>
        <v>643.133019176037</v>
      </c>
      <c r="CS64" s="22">
        <f t="shared" si="30"/>
        <v>2484.2142303923856</v>
      </c>
      <c r="CT64" s="109">
        <f t="shared" si="31"/>
        <v>97.09815704754352</v>
      </c>
      <c r="CU64" s="126">
        <f>15067.76+5922.8</f>
        <v>20990.56</v>
      </c>
      <c r="CV64" s="127">
        <f>4905.77+15414.45</f>
        <v>20320.22</v>
      </c>
      <c r="CW64" s="84">
        <v>56</v>
      </c>
      <c r="CX64" s="95" t="s">
        <v>82</v>
      </c>
      <c r="CY64" s="14">
        <v>16</v>
      </c>
      <c r="CZ64" s="116">
        <v>0</v>
      </c>
      <c r="DA64" s="2">
        <v>0</v>
      </c>
      <c r="DB64" s="2">
        <v>-258.54</v>
      </c>
      <c r="DC64" s="15"/>
      <c r="DD64" s="11"/>
      <c r="DE64" s="112"/>
      <c r="DF64" s="84">
        <v>56</v>
      </c>
      <c r="DG64" s="95" t="s">
        <v>82</v>
      </c>
      <c r="DH64" s="14">
        <v>16</v>
      </c>
      <c r="DI64" s="132">
        <v>0</v>
      </c>
      <c r="DJ64" s="52">
        <v>0</v>
      </c>
      <c r="DK64" s="134">
        <v>0</v>
      </c>
      <c r="DL64" s="23"/>
      <c r="DM64" s="23"/>
    </row>
    <row r="65" spans="1:117" ht="12" customHeight="1">
      <c r="A65" s="6">
        <v>57</v>
      </c>
      <c r="B65" s="6" t="s">
        <v>82</v>
      </c>
      <c r="C65" s="8" t="s">
        <v>83</v>
      </c>
      <c r="D65" s="2">
        <v>537.8</v>
      </c>
      <c r="E65" s="44">
        <v>1959</v>
      </c>
      <c r="F65" s="45">
        <v>2</v>
      </c>
      <c r="G65" s="45">
        <v>2</v>
      </c>
      <c r="H65" s="45"/>
      <c r="I65" s="45">
        <v>16</v>
      </c>
      <c r="J65" s="45"/>
      <c r="K65" s="46">
        <v>52.8</v>
      </c>
      <c r="L65" s="47">
        <v>225</v>
      </c>
      <c r="M65" s="48">
        <v>0</v>
      </c>
      <c r="N65" s="48">
        <v>0</v>
      </c>
      <c r="O65" s="48">
        <v>2351</v>
      </c>
      <c r="P65" s="45"/>
      <c r="Q65" s="49" t="s">
        <v>48</v>
      </c>
      <c r="R65" s="6">
        <v>57</v>
      </c>
      <c r="S65" s="95" t="s">
        <v>82</v>
      </c>
      <c r="T65" s="14" t="s">
        <v>83</v>
      </c>
      <c r="U65" s="50" t="s">
        <v>47</v>
      </c>
      <c r="V65" s="48">
        <v>457</v>
      </c>
      <c r="W65" s="31">
        <f t="shared" si="5"/>
        <v>-5910.569999999992</v>
      </c>
      <c r="X65" s="3">
        <v>87591.42</v>
      </c>
      <c r="Y65" s="3">
        <v>81680.85</v>
      </c>
      <c r="Z65" s="104">
        <f t="shared" si="6"/>
        <v>93.25211304942881</v>
      </c>
      <c r="AA65" s="3">
        <f t="shared" si="7"/>
        <v>-87232.65614960837</v>
      </c>
      <c r="AB65" s="3">
        <f t="shared" si="8"/>
        <v>168913.50614960838</v>
      </c>
      <c r="AC65" s="32">
        <f t="shared" si="35"/>
        <v>143147.0391098376</v>
      </c>
      <c r="AD65" s="6">
        <v>57</v>
      </c>
      <c r="AE65" s="95" t="s">
        <v>82</v>
      </c>
      <c r="AF65" s="14" t="s">
        <v>83</v>
      </c>
      <c r="AG65" s="2">
        <f t="shared" si="9"/>
        <v>41392.22909552387</v>
      </c>
      <c r="AH65" s="2">
        <f>0.42*1.078</f>
        <v>0.45276</v>
      </c>
      <c r="AI65" s="30">
        <f>5912133.53/84.85*AH65</f>
        <v>31547.172387068953</v>
      </c>
      <c r="AJ65" s="30">
        <f t="shared" si="11"/>
        <v>7467.210920018859</v>
      </c>
      <c r="AK65" s="2">
        <f t="shared" si="1"/>
        <v>39014.38330708781</v>
      </c>
      <c r="AL65" s="30">
        <f t="shared" si="12"/>
        <v>2377.8457884360637</v>
      </c>
      <c r="AM65" s="6">
        <v>57</v>
      </c>
      <c r="AN65" s="95" t="s">
        <v>82</v>
      </c>
      <c r="AO65" s="14" t="s">
        <v>83</v>
      </c>
      <c r="AP65" s="30">
        <f t="shared" si="2"/>
        <v>52658.96920228243</v>
      </c>
      <c r="AQ65" s="2">
        <f>(0.221+0.019)*1.003</f>
        <v>0.24071999999999996</v>
      </c>
      <c r="AR65" s="30">
        <f t="shared" si="13"/>
        <v>30946.374989339663</v>
      </c>
      <c r="AS65" s="30">
        <f t="shared" si="14"/>
        <v>8551.763409672209</v>
      </c>
      <c r="AT65" s="9">
        <v>5075.61</v>
      </c>
      <c r="AU65" s="22">
        <f t="shared" si="15"/>
        <v>426.29989469142765</v>
      </c>
      <c r="AV65" s="6">
        <v>57</v>
      </c>
      <c r="AW65" s="95" t="s">
        <v>82</v>
      </c>
      <c r="AX65" s="14" t="s">
        <v>83</v>
      </c>
      <c r="AY65" s="22">
        <f t="shared" si="16"/>
        <v>0</v>
      </c>
      <c r="AZ65" s="10"/>
      <c r="BA65" s="2"/>
      <c r="BB65" s="2"/>
      <c r="BC65" s="2"/>
      <c r="BD65" s="2"/>
      <c r="BE65" s="2"/>
      <c r="BF65" s="6">
        <v>57</v>
      </c>
      <c r="BG65" s="95" t="s">
        <v>82</v>
      </c>
      <c r="BH65" s="14" t="s">
        <v>83</v>
      </c>
      <c r="BI65" s="31">
        <f t="shared" si="17"/>
        <v>0.028781399775919786</v>
      </c>
      <c r="BJ65" s="31">
        <f t="shared" si="18"/>
        <v>4546.255668748166</v>
      </c>
      <c r="BK65" s="30">
        <f t="shared" si="19"/>
        <v>1279.1113677771798</v>
      </c>
      <c r="BL65" s="106">
        <f t="shared" si="20"/>
        <v>1833.5538720537902</v>
      </c>
      <c r="BM65" s="6">
        <v>57</v>
      </c>
      <c r="BN65" s="95" t="s">
        <v>82</v>
      </c>
      <c r="BO65" s="14" t="s">
        <v>83</v>
      </c>
      <c r="BP65" s="30">
        <f t="shared" si="34"/>
        <v>2042.4107243613516</v>
      </c>
      <c r="BQ65" s="30"/>
      <c r="BR65" s="22">
        <f t="shared" si="21"/>
        <v>275.30625553930525</v>
      </c>
      <c r="BS65" s="2"/>
      <c r="BT65" s="2"/>
      <c r="BU65" s="2"/>
      <c r="BV65" s="2"/>
      <c r="BW65" s="6">
        <v>57</v>
      </c>
      <c r="BX65" s="95" t="s">
        <v>82</v>
      </c>
      <c r="BY65" s="14" t="s">
        <v>83</v>
      </c>
      <c r="BZ65" s="30">
        <f t="shared" si="22"/>
        <v>86.69272349272349</v>
      </c>
      <c r="CA65" s="2">
        <f>18.5*I65*4</f>
        <v>1184</v>
      </c>
      <c r="CB65" s="2"/>
      <c r="CC65" s="2"/>
      <c r="CD65" s="2"/>
      <c r="CE65" s="30">
        <f t="shared" si="23"/>
        <v>496.4117453293229</v>
      </c>
      <c r="CF65" s="6">
        <v>57</v>
      </c>
      <c r="CG65" s="95" t="s">
        <v>82</v>
      </c>
      <c r="CH65" s="14" t="s">
        <v>83</v>
      </c>
      <c r="CI65" s="46">
        <f t="shared" si="4"/>
        <v>31737.32462619525</v>
      </c>
      <c r="CJ65" s="38">
        <f t="shared" si="24"/>
        <v>0.10361303919331123</v>
      </c>
      <c r="CK65" s="30">
        <f t="shared" si="25"/>
        <v>22595.1972952743</v>
      </c>
      <c r="CL65" s="30">
        <f t="shared" si="26"/>
        <v>6376.595757373159</v>
      </c>
      <c r="CM65" s="30">
        <f t="shared" si="27"/>
        <v>2765.5315735477925</v>
      </c>
      <c r="CN65" s="6">
        <v>57</v>
      </c>
      <c r="CO65" s="95" t="s">
        <v>82</v>
      </c>
      <c r="CP65" s="14" t="s">
        <v>83</v>
      </c>
      <c r="CQ65" s="30">
        <f t="shared" si="28"/>
        <v>10795.49352279361</v>
      </c>
      <c r="CR65" s="22">
        <f t="shared" si="29"/>
        <v>901.6604215664042</v>
      </c>
      <c r="CS65" s="22">
        <f t="shared" si="30"/>
        <v>3482.8217234229014</v>
      </c>
      <c r="CT65" s="109">
        <f t="shared" si="31"/>
        <v>136.12979369178547</v>
      </c>
      <c r="CU65" s="126">
        <f>21124.76+8303.52</f>
        <v>29428.28</v>
      </c>
      <c r="CV65" s="127">
        <f>6482.91+20564.82</f>
        <v>27047.73</v>
      </c>
      <c r="CW65" s="84">
        <v>57</v>
      </c>
      <c r="CX65" s="95" t="s">
        <v>82</v>
      </c>
      <c r="CY65" s="14" t="s">
        <v>83</v>
      </c>
      <c r="CZ65" s="116">
        <v>0</v>
      </c>
      <c r="DA65" s="2">
        <v>0</v>
      </c>
      <c r="DB65" s="2">
        <v>0</v>
      </c>
      <c r="DC65" s="15"/>
      <c r="DD65" s="11"/>
      <c r="DE65" s="112"/>
      <c r="DF65" s="84">
        <v>57</v>
      </c>
      <c r="DG65" s="95" t="s">
        <v>82</v>
      </c>
      <c r="DH65" s="14" t="s">
        <v>83</v>
      </c>
      <c r="DI65" s="132">
        <v>0</v>
      </c>
      <c r="DJ65" s="52">
        <v>0</v>
      </c>
      <c r="DK65" s="134">
        <v>0</v>
      </c>
      <c r="DL65" s="23"/>
      <c r="DM65" s="23"/>
    </row>
    <row r="66" spans="1:117" ht="11.25" customHeight="1">
      <c r="A66" s="6">
        <v>58</v>
      </c>
      <c r="B66" s="6" t="s">
        <v>82</v>
      </c>
      <c r="C66" s="8">
        <v>24</v>
      </c>
      <c r="D66" s="52">
        <v>2946.3</v>
      </c>
      <c r="E66" s="44">
        <v>1967</v>
      </c>
      <c r="F66" s="45">
        <v>4</v>
      </c>
      <c r="G66" s="45">
        <v>5</v>
      </c>
      <c r="H66" s="45"/>
      <c r="I66" s="45">
        <v>64</v>
      </c>
      <c r="J66" s="45"/>
      <c r="K66" s="46">
        <v>327.4</v>
      </c>
      <c r="L66" s="47">
        <f>51+286+820</f>
        <v>1157</v>
      </c>
      <c r="M66" s="48">
        <v>0</v>
      </c>
      <c r="N66" s="48">
        <v>382</v>
      </c>
      <c r="O66" s="48">
        <v>778</v>
      </c>
      <c r="P66" s="45"/>
      <c r="Q66" s="49" t="s">
        <v>46</v>
      </c>
      <c r="R66" s="6">
        <v>58</v>
      </c>
      <c r="S66" s="95" t="s">
        <v>82</v>
      </c>
      <c r="T66" s="14">
        <v>24</v>
      </c>
      <c r="U66" s="50" t="s">
        <v>47</v>
      </c>
      <c r="V66" s="48">
        <v>1101</v>
      </c>
      <c r="W66" s="31">
        <f t="shared" si="5"/>
        <v>-10592.109999999986</v>
      </c>
      <c r="X66" s="3">
        <v>713524.13</v>
      </c>
      <c r="Y66" s="3">
        <v>702932.02</v>
      </c>
      <c r="Z66" s="104">
        <f t="shared" si="6"/>
        <v>98.5155218226467</v>
      </c>
      <c r="AA66" s="3">
        <f t="shared" si="7"/>
        <v>-51289.988295206334</v>
      </c>
      <c r="AB66" s="3">
        <f t="shared" si="8"/>
        <v>754222.0082952064</v>
      </c>
      <c r="AC66" s="32">
        <f t="shared" si="35"/>
        <v>639171.1934705139</v>
      </c>
      <c r="AD66" s="6">
        <v>58</v>
      </c>
      <c r="AE66" s="95" t="s">
        <v>82</v>
      </c>
      <c r="AF66" s="14">
        <v>24</v>
      </c>
      <c r="AG66" s="2">
        <f t="shared" si="9"/>
        <v>97567.39715373484</v>
      </c>
      <c r="AH66" s="2">
        <f>0.99*1.078</f>
        <v>1.06722</v>
      </c>
      <c r="AI66" s="30">
        <f t="shared" si="10"/>
        <v>74361.19205523396</v>
      </c>
      <c r="AJ66" s="30">
        <f t="shared" si="11"/>
        <v>17601.282882901596</v>
      </c>
      <c r="AK66" s="2">
        <f t="shared" si="1"/>
        <v>91962.47493813555</v>
      </c>
      <c r="AL66" s="30">
        <f t="shared" si="12"/>
        <v>5604.922215599294</v>
      </c>
      <c r="AM66" s="6">
        <v>58</v>
      </c>
      <c r="AN66" s="95" t="s">
        <v>82</v>
      </c>
      <c r="AO66" s="14">
        <v>24</v>
      </c>
      <c r="AP66" s="30">
        <f t="shared" si="2"/>
        <v>230261.12861124024</v>
      </c>
      <c r="AQ66" s="2">
        <f>(1.034+0.02)*1.003</f>
        <v>1.057162</v>
      </c>
      <c r="AR66" s="30">
        <f t="shared" si="13"/>
        <v>135906.16349485004</v>
      </c>
      <c r="AS66" s="30">
        <f t="shared" si="14"/>
        <v>37556.49430747712</v>
      </c>
      <c r="AT66" s="9">
        <v>11525.46</v>
      </c>
      <c r="AU66" s="22">
        <f t="shared" si="15"/>
        <v>1921.6438082684188</v>
      </c>
      <c r="AV66" s="6">
        <v>58</v>
      </c>
      <c r="AW66" s="95" t="s">
        <v>82</v>
      </c>
      <c r="AX66" s="14">
        <v>24</v>
      </c>
      <c r="AY66" s="22">
        <f t="shared" si="16"/>
        <v>1392.5</v>
      </c>
      <c r="AZ66" s="10">
        <v>1392.5</v>
      </c>
      <c r="BA66" s="2"/>
      <c r="BB66" s="2"/>
      <c r="BC66" s="2"/>
      <c r="BD66" s="2"/>
      <c r="BE66" s="2"/>
      <c r="BF66" s="6">
        <v>58</v>
      </c>
      <c r="BG66" s="95" t="s">
        <v>82</v>
      </c>
      <c r="BH66" s="14">
        <v>24</v>
      </c>
      <c r="BI66" s="31">
        <f t="shared" si="17"/>
        <v>0.1576769024912467</v>
      </c>
      <c r="BJ66" s="31">
        <f t="shared" si="18"/>
        <v>24906.34636822745</v>
      </c>
      <c r="BK66" s="30">
        <f t="shared" si="19"/>
        <v>7007.522913502985</v>
      </c>
      <c r="BL66" s="106">
        <f t="shared" si="20"/>
        <v>10044.997718914248</v>
      </c>
      <c r="BM66" s="6">
        <v>58</v>
      </c>
      <c r="BN66" s="95" t="s">
        <v>82</v>
      </c>
      <c r="BO66" s="14">
        <v>24</v>
      </c>
      <c r="BP66" s="30">
        <f t="shared" si="34"/>
        <v>53563.71443796353</v>
      </c>
      <c r="BQ66" s="30"/>
      <c r="BR66" s="22">
        <f t="shared" si="21"/>
        <v>1508.2462266557368</v>
      </c>
      <c r="BS66" s="2"/>
      <c r="BT66" s="2"/>
      <c r="BU66" s="2"/>
      <c r="BV66" s="2"/>
      <c r="BW66" s="6">
        <v>58</v>
      </c>
      <c r="BX66" s="95" t="s">
        <v>82</v>
      </c>
      <c r="BY66" s="14">
        <v>24</v>
      </c>
      <c r="BZ66" s="30">
        <f t="shared" si="22"/>
        <v>346.77089397089395</v>
      </c>
      <c r="CA66" s="2">
        <f>18.5*I66*4</f>
        <v>4736</v>
      </c>
      <c r="CB66" s="2"/>
      <c r="CC66" s="2">
        <v>44253.14</v>
      </c>
      <c r="CD66" s="2"/>
      <c r="CE66" s="30">
        <f t="shared" si="23"/>
        <v>2719.557317336899</v>
      </c>
      <c r="CF66" s="6">
        <v>58</v>
      </c>
      <c r="CG66" s="95" t="s">
        <v>82</v>
      </c>
      <c r="CH66" s="14">
        <v>24</v>
      </c>
      <c r="CI66" s="46">
        <f t="shared" si="4"/>
        <v>173870.7317704706</v>
      </c>
      <c r="CJ66" s="38">
        <f t="shared" si="24"/>
        <v>0.5676368489684881</v>
      </c>
      <c r="CK66" s="30">
        <f t="shared" si="25"/>
        <v>123786.2212552374</v>
      </c>
      <c r="CL66" s="30">
        <f t="shared" si="26"/>
        <v>34933.73759752425</v>
      </c>
      <c r="CM66" s="30">
        <f t="shared" si="27"/>
        <v>15150.772917708928</v>
      </c>
      <c r="CN66" s="6">
        <v>58</v>
      </c>
      <c r="CO66" s="95" t="s">
        <v>82</v>
      </c>
      <c r="CP66" s="14">
        <v>24</v>
      </c>
      <c r="CQ66" s="30">
        <f t="shared" si="28"/>
        <v>59142.362525486824</v>
      </c>
      <c r="CR66" s="22">
        <f t="shared" si="29"/>
        <v>4939.684083415948</v>
      </c>
      <c r="CS66" s="22">
        <f t="shared" si="30"/>
        <v>19080.397254966334</v>
      </c>
      <c r="CT66" s="109">
        <f t="shared" si="31"/>
        <v>745.7776332356035</v>
      </c>
      <c r="CU66" s="126">
        <f>115692.34+45480.68</f>
        <v>161173.02</v>
      </c>
      <c r="CV66" s="127">
        <f>41250.41+116853.24</f>
        <v>158103.65000000002</v>
      </c>
      <c r="CW66" s="84">
        <v>58</v>
      </c>
      <c r="CX66" s="95" t="s">
        <v>82</v>
      </c>
      <c r="CY66" s="14">
        <v>24</v>
      </c>
      <c r="CZ66" s="116">
        <v>7.3</v>
      </c>
      <c r="DA66" s="2">
        <f>160085.35-85.71</f>
        <v>159999.64</v>
      </c>
      <c r="DB66" s="2">
        <f>120192.35-66.99</f>
        <v>120125.36</v>
      </c>
      <c r="DC66" s="15"/>
      <c r="DD66" s="11"/>
      <c r="DE66" s="112"/>
      <c r="DF66" s="84">
        <v>58</v>
      </c>
      <c r="DG66" s="95" t="s">
        <v>82</v>
      </c>
      <c r="DH66" s="14">
        <v>24</v>
      </c>
      <c r="DI66" s="136">
        <v>7.3</v>
      </c>
      <c r="DJ66" s="137">
        <f>3253.56+44763.91</f>
        <v>48017.47</v>
      </c>
      <c r="DK66" s="138">
        <f>36164.68+4216.83</f>
        <v>40381.51</v>
      </c>
      <c r="DL66" s="23"/>
      <c r="DM66" s="23"/>
    </row>
    <row r="67" spans="1:117" ht="12" customHeight="1">
      <c r="A67" s="6">
        <v>59</v>
      </c>
      <c r="B67" s="6" t="s">
        <v>82</v>
      </c>
      <c r="C67" s="8">
        <v>28</v>
      </c>
      <c r="D67" s="52">
        <v>633</v>
      </c>
      <c r="E67" s="44">
        <v>1960</v>
      </c>
      <c r="F67" s="45">
        <v>2</v>
      </c>
      <c r="G67" s="45">
        <v>2</v>
      </c>
      <c r="H67" s="45"/>
      <c r="I67" s="45">
        <v>16</v>
      </c>
      <c r="J67" s="45"/>
      <c r="K67" s="46">
        <v>70.9</v>
      </c>
      <c r="L67" s="47">
        <f>252+139+92</f>
        <v>483</v>
      </c>
      <c r="M67" s="48">
        <v>0</v>
      </c>
      <c r="N67" s="48">
        <v>0</v>
      </c>
      <c r="O67" s="48">
        <v>734</v>
      </c>
      <c r="P67" s="45"/>
      <c r="Q67" s="49" t="s">
        <v>46</v>
      </c>
      <c r="R67" s="6">
        <v>59</v>
      </c>
      <c r="S67" s="95" t="s">
        <v>82</v>
      </c>
      <c r="T67" s="14">
        <v>28</v>
      </c>
      <c r="U67" s="50" t="s">
        <v>47</v>
      </c>
      <c r="V67" s="48">
        <v>542</v>
      </c>
      <c r="W67" s="31">
        <f t="shared" si="5"/>
        <v>3110.4899999999907</v>
      </c>
      <c r="X67" s="3">
        <v>153344.7</v>
      </c>
      <c r="Y67" s="3">
        <v>156455.19</v>
      </c>
      <c r="Z67" s="104">
        <f t="shared" si="6"/>
        <v>102.02843006637985</v>
      </c>
      <c r="AA67" s="3">
        <f>Y67-AB67</f>
        <v>-13229.142544825794</v>
      </c>
      <c r="AB67" s="3">
        <f t="shared" si="8"/>
        <v>169684.3325448258</v>
      </c>
      <c r="AC67" s="32">
        <f t="shared" si="35"/>
        <v>143800.281817649</v>
      </c>
      <c r="AD67" s="6">
        <v>59</v>
      </c>
      <c r="AE67" s="95" t="s">
        <v>82</v>
      </c>
      <c r="AF67" s="14">
        <v>28</v>
      </c>
      <c r="AG67" s="2">
        <f t="shared" si="9"/>
        <v>30608.08883554509</v>
      </c>
      <c r="AH67" s="2">
        <f>(0.31*1.078)+0.00062</f>
        <v>0.33480000000000004</v>
      </c>
      <c r="AI67" s="30">
        <f t="shared" si="10"/>
        <v>23328.017747130238</v>
      </c>
      <c r="AJ67" s="30">
        <f t="shared" si="11"/>
        <v>5521.738263146732</v>
      </c>
      <c r="AK67" s="2">
        <f t="shared" si="1"/>
        <v>28849.75601027697</v>
      </c>
      <c r="AL67" s="30">
        <f t="shared" si="12"/>
        <v>1758.3328252681206</v>
      </c>
      <c r="AM67" s="6">
        <v>59</v>
      </c>
      <c r="AN67" s="95" t="s">
        <v>82</v>
      </c>
      <c r="AO67" s="14">
        <v>28</v>
      </c>
      <c r="AP67" s="30">
        <f t="shared" si="2"/>
        <v>55630.46504097465</v>
      </c>
      <c r="AQ67" s="2">
        <f>(0.252+0.018)*1.003</f>
        <v>0.27081</v>
      </c>
      <c r="AR67" s="30">
        <f t="shared" si="13"/>
        <v>34814.67186300713</v>
      </c>
      <c r="AS67" s="30">
        <f t="shared" si="14"/>
        <v>9620.733835881236</v>
      </c>
      <c r="AT67" s="9">
        <v>1698.42</v>
      </c>
      <c r="AU67" s="22">
        <f t="shared" si="15"/>
        <v>481.9555653466258</v>
      </c>
      <c r="AV67" s="6">
        <v>59</v>
      </c>
      <c r="AW67" s="95" t="s">
        <v>82</v>
      </c>
      <c r="AX67" s="14">
        <v>28</v>
      </c>
      <c r="AY67" s="22">
        <f t="shared" si="16"/>
        <v>0</v>
      </c>
      <c r="AZ67" s="2"/>
      <c r="BA67" s="2"/>
      <c r="BB67" s="2"/>
      <c r="BC67" s="2"/>
      <c r="BD67" s="2"/>
      <c r="BE67" s="2"/>
      <c r="BF67" s="6">
        <v>59</v>
      </c>
      <c r="BG67" s="95" t="s">
        <v>82</v>
      </c>
      <c r="BH67" s="14">
        <v>28</v>
      </c>
      <c r="BI67" s="31">
        <f t="shared" si="17"/>
        <v>0.033876210595309084</v>
      </c>
      <c r="BJ67" s="31">
        <f t="shared" si="18"/>
        <v>5351.022384376328</v>
      </c>
      <c r="BK67" s="30">
        <f t="shared" si="19"/>
        <v>1505.536436970909</v>
      </c>
      <c r="BL67" s="106">
        <f t="shared" si="20"/>
        <v>2158.124955392431</v>
      </c>
      <c r="BM67" s="6">
        <v>59</v>
      </c>
      <c r="BN67" s="95" t="s">
        <v>82</v>
      </c>
      <c r="BO67" s="14">
        <v>28</v>
      </c>
      <c r="BP67" s="30">
        <f t="shared" si="34"/>
        <v>2179.0182990781486</v>
      </c>
      <c r="BQ67" s="30"/>
      <c r="BR67" s="22">
        <f t="shared" si="21"/>
        <v>324.04027474224665</v>
      </c>
      <c r="BS67" s="2"/>
      <c r="BT67" s="2"/>
      <c r="BU67" s="2"/>
      <c r="BV67" s="2"/>
      <c r="BW67" s="6">
        <v>59</v>
      </c>
      <c r="BX67" s="95" t="s">
        <v>82</v>
      </c>
      <c r="BY67" s="14">
        <v>28</v>
      </c>
      <c r="BZ67" s="30">
        <f t="shared" si="22"/>
        <v>86.69272349272349</v>
      </c>
      <c r="CA67" s="2">
        <f>18.5*I67*4</f>
        <v>1184</v>
      </c>
      <c r="CB67" s="2"/>
      <c r="CC67" s="2"/>
      <c r="CD67" s="2"/>
      <c r="CE67" s="30">
        <f t="shared" si="23"/>
        <v>584.2853008431786</v>
      </c>
      <c r="CF67" s="6">
        <v>59</v>
      </c>
      <c r="CG67" s="95" t="s">
        <v>82</v>
      </c>
      <c r="CH67" s="14">
        <v>28</v>
      </c>
      <c r="CI67" s="46">
        <f t="shared" si="4"/>
        <v>37355.38580956042</v>
      </c>
      <c r="CJ67" s="38">
        <f t="shared" si="24"/>
        <v>0.1219543581431127</v>
      </c>
      <c r="CK67" s="30">
        <f t="shared" si="25"/>
        <v>26594.942149328064</v>
      </c>
      <c r="CL67" s="30">
        <f t="shared" si="26"/>
        <v>7505.364660500576</v>
      </c>
      <c r="CM67" s="30">
        <f t="shared" si="27"/>
        <v>3255.0789997317825</v>
      </c>
      <c r="CN67" s="6">
        <v>59</v>
      </c>
      <c r="CO67" s="95" t="s">
        <v>82</v>
      </c>
      <c r="CP67" s="14">
        <v>28</v>
      </c>
      <c r="CQ67" s="30">
        <f t="shared" si="28"/>
        <v>12706.484566620222</v>
      </c>
      <c r="CR67" s="22">
        <f t="shared" si="29"/>
        <v>1061.2700759604572</v>
      </c>
      <c r="CS67" s="22">
        <f t="shared" si="30"/>
        <v>4099.342043374297</v>
      </c>
      <c r="CT67" s="109">
        <f t="shared" si="31"/>
        <v>160.22714653570137</v>
      </c>
      <c r="CU67" s="126">
        <f>24864.2+9773.44</f>
        <v>34637.64</v>
      </c>
      <c r="CV67" s="127">
        <f>9084.01+26134.24</f>
        <v>35218.25</v>
      </c>
      <c r="CW67" s="84">
        <v>59</v>
      </c>
      <c r="CX67" s="95" t="s">
        <v>82</v>
      </c>
      <c r="CY67" s="14">
        <v>28</v>
      </c>
      <c r="CZ67" s="116">
        <v>7.3</v>
      </c>
      <c r="DA67" s="2">
        <f>29532.88</f>
        <v>29532.88</v>
      </c>
      <c r="DB67" s="2">
        <f>27188.52+2.86</f>
        <v>27191.38</v>
      </c>
      <c r="DC67" s="15"/>
      <c r="DD67" s="11"/>
      <c r="DE67" s="112"/>
      <c r="DF67" s="84">
        <v>59</v>
      </c>
      <c r="DG67" s="95" t="s">
        <v>82</v>
      </c>
      <c r="DH67" s="14">
        <v>28</v>
      </c>
      <c r="DI67" s="116">
        <v>7.3</v>
      </c>
      <c r="DJ67" s="2">
        <f>529.56+7434.32</f>
        <v>7963.879999999999</v>
      </c>
      <c r="DK67" s="51">
        <f>529.58+7138.12</f>
        <v>7667.7</v>
      </c>
      <c r="DL67" s="23"/>
      <c r="DM67" s="23"/>
    </row>
    <row r="68" spans="1:117" ht="13.5" thickBot="1">
      <c r="A68" s="17"/>
      <c r="B68" s="17" t="s">
        <v>84</v>
      </c>
      <c r="C68" s="18"/>
      <c r="D68" s="19">
        <f>SUM(D6:D67)</f>
        <v>205542.46999999997</v>
      </c>
      <c r="E68" s="58"/>
      <c r="F68" s="59"/>
      <c r="G68" s="59"/>
      <c r="H68" s="60">
        <f>H6+H12+H26+H39+H43+H44+H45+H46+H49+H53+H58+H37</f>
        <v>37</v>
      </c>
      <c r="I68" s="61">
        <f>SUM(I6:I67)</f>
        <v>4329</v>
      </c>
      <c r="J68" s="60">
        <f>J39+J43+J44+J45+J46</f>
        <v>570</v>
      </c>
      <c r="K68" s="62">
        <f aca="true" t="shared" si="36" ref="K68:P68">SUM(K6:K67)</f>
        <v>23558.91999999999</v>
      </c>
      <c r="L68" s="63">
        <f t="shared" si="36"/>
        <v>55267.1</v>
      </c>
      <c r="M68" s="64">
        <f t="shared" si="36"/>
        <v>8043.900000000001</v>
      </c>
      <c r="N68" s="65">
        <f t="shared" si="36"/>
        <v>28606.6</v>
      </c>
      <c r="O68" s="65">
        <f t="shared" si="36"/>
        <v>149011.4</v>
      </c>
      <c r="P68" s="66">
        <f t="shared" si="36"/>
        <v>6</v>
      </c>
      <c r="Q68" s="20"/>
      <c r="R68" s="17"/>
      <c r="S68" s="17" t="s">
        <v>84</v>
      </c>
      <c r="T68" s="18"/>
      <c r="U68" s="67"/>
      <c r="V68" s="63">
        <f>SUM(V6:V67)</f>
        <v>58129.200000000004</v>
      </c>
      <c r="W68" s="63">
        <f>SUM(W6:W67)</f>
        <v>-1827117.449999999</v>
      </c>
      <c r="X68" s="19">
        <f>SUM(X6:X67)</f>
        <v>55273805.230000004</v>
      </c>
      <c r="Y68" s="62">
        <f>SUM(Y6:Y67)</f>
        <v>53446687.78000001</v>
      </c>
      <c r="Z68" s="20">
        <f>Y68/X68*100</f>
        <v>96.69442434368834</v>
      </c>
      <c r="AA68" s="62">
        <f>SUM(AA6:AA67)</f>
        <v>-3142509.338603977</v>
      </c>
      <c r="AB68" s="62">
        <f>SUM(AB6:AB67)</f>
        <v>58100839.87019023</v>
      </c>
      <c r="AC68" s="21">
        <f>SUM(AC6:AC67)</f>
        <v>49237999.889991716</v>
      </c>
      <c r="AD68" s="17"/>
      <c r="AE68" s="17" t="s">
        <v>84</v>
      </c>
      <c r="AF68" s="18"/>
      <c r="AG68" s="92">
        <f aca="true" t="shared" si="37" ref="AG68:AL68">SUM(AG6:AG67)</f>
        <v>7757157.52</v>
      </c>
      <c r="AH68" s="92">
        <f t="shared" si="37"/>
        <v>84.85000000000001</v>
      </c>
      <c r="AI68" s="92">
        <f t="shared" si="37"/>
        <v>5912133.53</v>
      </c>
      <c r="AJ68" s="92">
        <f t="shared" si="37"/>
        <v>1399401.1100000003</v>
      </c>
      <c r="AK68" s="92">
        <f t="shared" si="37"/>
        <v>7311534.640000002</v>
      </c>
      <c r="AL68" s="92">
        <f t="shared" si="37"/>
        <v>445622.87999999995</v>
      </c>
      <c r="AM68" s="17"/>
      <c r="AN68" s="17" t="s">
        <v>84</v>
      </c>
      <c r="AO68" s="18"/>
      <c r="AP68" s="4">
        <f aca="true" t="shared" si="38" ref="AP68:AU68">SUM(AP6:AP67)</f>
        <v>17365207.69999172</v>
      </c>
      <c r="AQ68" s="92">
        <f t="shared" si="38"/>
        <v>63.14999999995</v>
      </c>
      <c r="AR68" s="19">
        <f t="shared" si="38"/>
        <v>8118409.689993572</v>
      </c>
      <c r="AS68" s="19">
        <f t="shared" si="38"/>
        <v>2243452.3899982236</v>
      </c>
      <c r="AT68" s="19">
        <f t="shared" si="38"/>
        <v>2792547.7399999993</v>
      </c>
      <c r="AU68" s="19">
        <f t="shared" si="38"/>
        <v>117291.1799999209</v>
      </c>
      <c r="AV68" s="17"/>
      <c r="AW68" s="17" t="s">
        <v>84</v>
      </c>
      <c r="AX68" s="18"/>
      <c r="AY68" s="19">
        <f aca="true" t="shared" si="39" ref="AY68:BE68">SUM(AY6:AY67)</f>
        <v>1166333.92</v>
      </c>
      <c r="AZ68" s="19">
        <f t="shared" si="39"/>
        <v>73245.45</v>
      </c>
      <c r="BA68" s="19">
        <f t="shared" si="39"/>
        <v>297156.07000000007</v>
      </c>
      <c r="BB68" s="19">
        <f t="shared" si="39"/>
        <v>78259.99999999999</v>
      </c>
      <c r="BC68" s="19">
        <f t="shared" si="39"/>
        <v>180757.5</v>
      </c>
      <c r="BD68" s="19">
        <f t="shared" si="39"/>
        <v>75931</v>
      </c>
      <c r="BE68" s="62">
        <f t="shared" si="39"/>
        <v>460983.9</v>
      </c>
      <c r="BF68" s="17"/>
      <c r="BG68" s="17" t="s">
        <v>84</v>
      </c>
      <c r="BH68" s="18"/>
      <c r="BI68" s="107">
        <f>SUM(BI6:BI67)</f>
        <v>11.000000000000002</v>
      </c>
      <c r="BJ68" s="19">
        <f>SUM(BJ6:BJ67)</f>
        <v>1737539.2699999996</v>
      </c>
      <c r="BK68" s="19">
        <f>SUM(BK6:BK67)</f>
        <v>488865.2100000003</v>
      </c>
      <c r="BL68" s="21">
        <f>SUM(BL6:BL67)</f>
        <v>700768.2999999999</v>
      </c>
      <c r="BM68" s="17"/>
      <c r="BN68" s="17" t="s">
        <v>84</v>
      </c>
      <c r="BO68" s="18"/>
      <c r="BP68" s="108">
        <f aca="true" t="shared" si="40" ref="BP68:BV68">SUM(BP6:BP67)</f>
        <v>6132224.02</v>
      </c>
      <c r="BQ68" s="19">
        <f t="shared" si="40"/>
        <v>48441.3</v>
      </c>
      <c r="BR68" s="19">
        <f t="shared" si="40"/>
        <v>105219.65000000001</v>
      </c>
      <c r="BS68" s="19">
        <f t="shared" si="40"/>
        <v>28000</v>
      </c>
      <c r="BT68" s="19">
        <f t="shared" si="40"/>
        <v>151689.00999999995</v>
      </c>
      <c r="BU68" s="19">
        <f t="shared" si="40"/>
        <v>40499.83999999999</v>
      </c>
      <c r="BV68" s="19">
        <f t="shared" si="40"/>
        <v>4353627.160000001</v>
      </c>
      <c r="BW68" s="17"/>
      <c r="BX68" s="17" t="s">
        <v>84</v>
      </c>
      <c r="BY68" s="18"/>
      <c r="BZ68" s="19">
        <f aca="true" t="shared" si="41" ref="BZ68:CE68">SUM(BZ6:BZ67)</f>
        <v>23455.800000000007</v>
      </c>
      <c r="CA68" s="19">
        <f t="shared" si="41"/>
        <v>73408</v>
      </c>
      <c r="CB68" s="19">
        <f t="shared" si="41"/>
        <v>150263.55</v>
      </c>
      <c r="CC68" s="19">
        <f t="shared" si="41"/>
        <v>820071.1600000001</v>
      </c>
      <c r="CD68" s="19">
        <f t="shared" si="41"/>
        <v>147824.31</v>
      </c>
      <c r="CE68" s="19">
        <f t="shared" si="41"/>
        <v>189724.24000000008</v>
      </c>
      <c r="CF68" s="17"/>
      <c r="CG68" s="17" t="s">
        <v>84</v>
      </c>
      <c r="CH68" s="18"/>
      <c r="CI68" s="19">
        <f>SUM(CI6:CI67)</f>
        <v>12129728.700000001</v>
      </c>
      <c r="CJ68" s="19">
        <f>SUM(CJ6:CJ67)</f>
        <v>39.60000000000001</v>
      </c>
      <c r="CK68" s="19">
        <f>SUM(CK6:CK67)</f>
        <v>8635687.36</v>
      </c>
      <c r="CL68" s="19">
        <f>SUM(CL6:CL67)</f>
        <v>2437079.289999999</v>
      </c>
      <c r="CM68" s="19">
        <f>SUM(CM6:CM67)</f>
        <v>1056962.0499999996</v>
      </c>
      <c r="CN68" s="17"/>
      <c r="CO68" s="17" t="s">
        <v>84</v>
      </c>
      <c r="CP68" s="18"/>
      <c r="CQ68" s="19">
        <f aca="true" t="shared" si="42" ref="CQ68:CV68">SUM(CQ6:CQ67)</f>
        <v>4125943.4799999995</v>
      </c>
      <c r="CR68" s="19">
        <f t="shared" si="42"/>
        <v>344606.7499999999</v>
      </c>
      <c r="CS68" s="19">
        <f t="shared" si="42"/>
        <v>1331104.0900000003</v>
      </c>
      <c r="CT68" s="99">
        <f t="shared" si="42"/>
        <v>52027.62000000001</v>
      </c>
      <c r="CU68" s="121">
        <f t="shared" si="42"/>
        <v>11240532.719999999</v>
      </c>
      <c r="CV68" s="122">
        <f t="shared" si="42"/>
        <v>10803052.760000002</v>
      </c>
      <c r="CW68" s="85"/>
      <c r="CX68" s="86" t="s">
        <v>84</v>
      </c>
      <c r="CY68" s="87"/>
      <c r="CZ68" s="101"/>
      <c r="DA68" s="25">
        <f>SUM(DA6:DA67)</f>
        <v>9635639.44</v>
      </c>
      <c r="DB68" s="26">
        <f>SUM(DB6:DB67)</f>
        <v>8339846.690000001</v>
      </c>
      <c r="DC68" s="26"/>
      <c r="DD68" s="26">
        <f>SUM(DD6:DD67)</f>
        <v>8148160</v>
      </c>
      <c r="DE68" s="68">
        <f>SUM(DE6:DE67)</f>
        <v>5816930</v>
      </c>
      <c r="DF68" s="85"/>
      <c r="DG68" s="86" t="s">
        <v>84</v>
      </c>
      <c r="DH68" s="87"/>
      <c r="DI68" s="101"/>
      <c r="DJ68" s="24">
        <f>SUM(DJ6:DJ67)</f>
        <v>2401319.74</v>
      </c>
      <c r="DK68" s="129">
        <f>SUM(DK6:DK67)</f>
        <v>2032102.6999999993</v>
      </c>
      <c r="DL68" s="23"/>
      <c r="DM68" s="23"/>
    </row>
    <row r="69" ht="12.75">
      <c r="DC69" s="23"/>
    </row>
    <row r="70" ht="12.75">
      <c r="DC70" s="23"/>
    </row>
    <row r="71" spans="29:107" ht="12.75">
      <c r="AC71" s="88"/>
      <c r="DC71" s="23"/>
    </row>
    <row r="72" ht="12.75">
      <c r="DC72" s="23"/>
    </row>
    <row r="73" ht="12.75">
      <c r="DC73" s="23"/>
    </row>
    <row r="74" ht="12.75">
      <c r="DC74" s="23"/>
    </row>
    <row r="75" ht="12.75">
      <c r="DC75" s="23"/>
    </row>
    <row r="76" ht="12.75">
      <c r="DC76" s="23"/>
    </row>
    <row r="77" ht="12.75">
      <c r="DC77" s="23"/>
    </row>
    <row r="78" ht="12.75">
      <c r="DC78" s="23"/>
    </row>
    <row r="79" ht="12.75">
      <c r="DC79" s="23"/>
    </row>
    <row r="80" ht="12.75">
      <c r="DC80" s="23"/>
    </row>
    <row r="81" ht="12.75">
      <c r="DC81" s="23"/>
    </row>
    <row r="82" ht="12.75">
      <c r="DC82" s="23"/>
    </row>
    <row r="83" ht="12.75">
      <c r="DC83" s="23"/>
    </row>
    <row r="84" ht="12.75">
      <c r="DC84" s="23"/>
    </row>
    <row r="85" ht="12.75">
      <c r="DC85" s="23"/>
    </row>
    <row r="86" ht="12.75">
      <c r="DC86" s="23"/>
    </row>
    <row r="87" ht="12.75">
      <c r="DC87" s="23"/>
    </row>
    <row r="88" ht="12.75">
      <c r="DC88" s="23"/>
    </row>
    <row r="89" ht="12.75">
      <c r="DC89" s="23"/>
    </row>
  </sheetData>
  <sheetProtection/>
  <mergeCells count="13">
    <mergeCell ref="BX2:CE2"/>
    <mergeCell ref="CG2:CN2"/>
    <mergeCell ref="CO2:CV2"/>
    <mergeCell ref="B3:Q3"/>
    <mergeCell ref="CU3:CV3"/>
    <mergeCell ref="AN2:AU2"/>
    <mergeCell ref="AV2:BC2"/>
    <mergeCell ref="BF2:BM2"/>
    <mergeCell ref="BN2:BU2"/>
    <mergeCell ref="A1:Q1"/>
    <mergeCell ref="A2:Q2"/>
    <mergeCell ref="T2:AA2"/>
    <mergeCell ref="AE2:AL2"/>
  </mergeCells>
  <printOptions/>
  <pageMargins left="0.22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2015-02-20T06:43:24Z</cp:lastPrinted>
  <dcterms:modified xsi:type="dcterms:W3CDTF">2015-02-20T06:43:26Z</dcterms:modified>
  <cp:category/>
  <cp:version/>
  <cp:contentType/>
  <cp:contentStatus/>
</cp:coreProperties>
</file>