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од.план на 2015 год" sheetId="1" r:id="rId1"/>
    <sheet name="Лист1" sheetId="2" r:id="rId2"/>
    <sheet name="Лист2" sheetId="3" r:id="rId3"/>
  </sheets>
  <definedNames/>
  <calcPr fullCalcOnLoad="1"/>
</workbook>
</file>

<file path=xl/sharedStrings.xml><?xml version="1.0" encoding="utf-8"?>
<sst xmlns="http://schemas.openxmlformats.org/spreadsheetml/2006/main" count="936" uniqueCount="111">
  <si>
    <t xml:space="preserve"> собственников  и нанимателей многоквартирных домов,</t>
  </si>
  <si>
    <t>МУСОР</t>
  </si>
  <si>
    <t>№  п/п</t>
  </si>
  <si>
    <t>Название улиц</t>
  </si>
  <si>
    <t>n\n    домов</t>
  </si>
  <si>
    <t>Год  застройки</t>
  </si>
  <si>
    <t>К-во п-дов</t>
  </si>
  <si>
    <t>Кол-во этажей</t>
  </si>
  <si>
    <t>К-во лиф-в</t>
  </si>
  <si>
    <t>Кол-во квартир</t>
  </si>
  <si>
    <t>Кол-во эл.плит</t>
  </si>
  <si>
    <t>Уб.пл.    л/кл.</t>
  </si>
  <si>
    <t>Пл.тротуаров</t>
  </si>
  <si>
    <t>Пл.пр.замощений</t>
  </si>
  <si>
    <t>Пл.грунта</t>
  </si>
  <si>
    <t>пл.газона</t>
  </si>
  <si>
    <t>Ко-во м/пр-ов</t>
  </si>
  <si>
    <t>Сантарное содержание дома, всего</t>
  </si>
  <si>
    <t>Численность</t>
  </si>
  <si>
    <t>Заботная плата,б/учета з/пл. из др. ист-ков</t>
  </si>
  <si>
    <t>Отчисления на соц.нужды</t>
  </si>
  <si>
    <t>ИТОГО: З/плата + начисления</t>
  </si>
  <si>
    <t>Материалы МОП</t>
  </si>
  <si>
    <t>Текущий ремонт, всего</t>
  </si>
  <si>
    <t>Начисления на з/плату</t>
  </si>
  <si>
    <t>Материалы по факту (см. отчет по м-м за 2014г.)</t>
  </si>
  <si>
    <t>Инструмент</t>
  </si>
  <si>
    <t>Подрядные работы по Т.Р.,     ВСЕГО</t>
  </si>
  <si>
    <t>в .ч. ремонт констр. эл. зд.</t>
  </si>
  <si>
    <t>Численность АДС</t>
  </si>
  <si>
    <t xml:space="preserve">Начисления на з/плату </t>
  </si>
  <si>
    <t>Содержание транспорта</t>
  </si>
  <si>
    <t>Услуги сторонних организаций, всего</t>
  </si>
  <si>
    <t>Страхование лифтов</t>
  </si>
  <si>
    <t>Тех.освидетельствование лифтов</t>
  </si>
  <si>
    <t>Измерение петли "фаза-ноль" на лифтах</t>
  </si>
  <si>
    <t>Технич-е,авар-е и диспетч-е обслуживание лифтов</t>
  </si>
  <si>
    <t xml:space="preserve">Очистка вентканалов </t>
  </si>
  <si>
    <t>Очистка дымоходов</t>
  </si>
  <si>
    <t>Диагностика лифтов</t>
  </si>
  <si>
    <t>Т/О внутридомовых газовых сетей и вводов</t>
  </si>
  <si>
    <t>Содержание АУП, всего</t>
  </si>
  <si>
    <t>Числ-сть АУП и вспом. персонала</t>
  </si>
  <si>
    <t>З/плата</t>
  </si>
  <si>
    <t>Начисления на  з/плату</t>
  </si>
  <si>
    <t>Прочие расходы АУП</t>
  </si>
  <si>
    <t>Услуги управления (ИРЦ)</t>
  </si>
  <si>
    <t>Прочие прямые расходы</t>
  </si>
  <si>
    <t>Амортизация</t>
  </si>
  <si>
    <t>Циолковского</t>
  </si>
  <si>
    <t>1\22</t>
  </si>
  <si>
    <t>7\11</t>
  </si>
  <si>
    <t>9\16</t>
  </si>
  <si>
    <t>10\6</t>
  </si>
  <si>
    <t>1984-89</t>
  </si>
  <si>
    <t>11А</t>
  </si>
  <si>
    <t>12\20</t>
  </si>
  <si>
    <t>13А</t>
  </si>
  <si>
    <t>13Б</t>
  </si>
  <si>
    <t>13В</t>
  </si>
  <si>
    <t>15А</t>
  </si>
  <si>
    <t>15Б</t>
  </si>
  <si>
    <t>17б</t>
  </si>
  <si>
    <t>18\9</t>
  </si>
  <si>
    <t>Бородинская</t>
  </si>
  <si>
    <t>17А</t>
  </si>
  <si>
    <t>Давыдова</t>
  </si>
  <si>
    <t>14,к1</t>
  </si>
  <si>
    <t>14,к2</t>
  </si>
  <si>
    <t>Дорохова</t>
  </si>
  <si>
    <t>Б.Серпуховская</t>
  </si>
  <si>
    <t>Сосновая</t>
  </si>
  <si>
    <t>2, к.1</t>
  </si>
  <si>
    <t>2, к.2</t>
  </si>
  <si>
    <t>2, к.3</t>
  </si>
  <si>
    <t>8А</t>
  </si>
  <si>
    <t>1977-78</t>
  </si>
  <si>
    <t>10А</t>
  </si>
  <si>
    <t>10Б</t>
  </si>
  <si>
    <t>Курчатова</t>
  </si>
  <si>
    <t>11\12</t>
  </si>
  <si>
    <t>17\5</t>
  </si>
  <si>
    <t>61а</t>
  </si>
  <si>
    <t>61б</t>
  </si>
  <si>
    <t>Багратиона</t>
  </si>
  <si>
    <t>16А</t>
  </si>
  <si>
    <t>ИТОГО:</t>
  </si>
  <si>
    <t>ПОДОМОВЫЙ ФИНАНСОВО - ХОЗЯЙСТВЕННЫЙ ПЛАН</t>
  </si>
  <si>
    <t>Пл-дь собст-ков и нан-лей помещений,2 полугодие</t>
  </si>
  <si>
    <t>Пл-дь собст-ков и нан-лей помещений,1полугодие</t>
  </si>
  <si>
    <t>Тариф собст-ков и нан-лей помещений,1полугодие</t>
  </si>
  <si>
    <t>Тариф собст-ков и нан-лей помещений,2 полугодие</t>
  </si>
  <si>
    <t>Запланированый доход на 2015г. (начислено по тарифу)</t>
  </si>
  <si>
    <t>Запланированный расход            на 2015г.          (с НДС)</t>
  </si>
  <si>
    <t>Плановый результат по дому</t>
  </si>
  <si>
    <t>в т.ч.              Ремонт вентиляционных систем</t>
  </si>
  <si>
    <t>в .ч. ремонт лифтов (вандализм)</t>
  </si>
  <si>
    <t>Заботная плата</t>
  </si>
  <si>
    <t>Дератизация и дезинсекция</t>
  </si>
  <si>
    <t>Замер сопротивления в ж/фонде</t>
  </si>
  <si>
    <t>Прочие                      (хим.оч. вода, ремонт обор-я, уборка кровель)</t>
  </si>
  <si>
    <t>Налоги относимые на себестоимость</t>
  </si>
  <si>
    <t>ВСЕГО план-й расход по сод-ю ж/ф ,без уч. мусора ,     без НДС)</t>
  </si>
  <si>
    <t>Запирающие устройства</t>
  </si>
  <si>
    <t>План на  2015 С НДС</t>
  </si>
  <si>
    <t>План на  2015 без НДС</t>
  </si>
  <si>
    <t xml:space="preserve">находящихся в управлении МУЖРП №9 г. Подольска за 2015год.               </t>
  </si>
  <si>
    <t>16а</t>
  </si>
  <si>
    <r>
      <t>Заработная</t>
    </r>
    <r>
      <rPr>
        <b/>
        <sz val="10"/>
        <rFont val="Arial"/>
        <family val="2"/>
      </rPr>
      <t xml:space="preserve"> плата</t>
    </r>
  </si>
  <si>
    <t>Директор МУЖРП №9 г. Подольска</t>
  </si>
  <si>
    <t>М. Е. Панин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</si>
</sst>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0.0000000"/>
    <numFmt numFmtId="188" formatCode="0.000000"/>
    <numFmt numFmtId="189" formatCode="0.00000"/>
    <numFmt numFmtId="190" formatCode="0.0000"/>
    <numFmt numFmtId="191" formatCode="0.000"/>
  </numFmts>
  <fonts count="11">
    <font>
      <sz val="10"/>
      <name val="Arial"/>
      <family val="0"/>
    </font>
    <font>
      <b/>
      <sz val="10"/>
      <name val="Arial"/>
      <family val="2"/>
    </font>
    <font>
      <b/>
      <sz val="10.5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7.5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b/>
      <sz val="9"/>
      <name val="Arial Cyr"/>
      <family val="2"/>
    </font>
    <font>
      <b/>
      <sz val="8"/>
      <name val="Arial Cyr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/>
    </xf>
    <xf numFmtId="0" fontId="9" fillId="2" borderId="1" xfId="0" applyFont="1" applyFill="1" applyBorder="1" applyAlignment="1">
      <alignment/>
    </xf>
    <xf numFmtId="0" fontId="3" fillId="2" borderId="1" xfId="0" applyFont="1" applyFill="1" applyBorder="1" applyAlignment="1">
      <alignment horizontal="right"/>
    </xf>
    <xf numFmtId="4" fontId="3" fillId="2" borderId="1" xfId="0" applyNumberFormat="1" applyFont="1" applyFill="1" applyBorder="1" applyAlignment="1">
      <alignment/>
    </xf>
    <xf numFmtId="1" fontId="3" fillId="2" borderId="1" xfId="0" applyNumberFormat="1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/>
    </xf>
    <xf numFmtId="2" fontId="3" fillId="2" borderId="1" xfId="0" applyNumberFormat="1" applyFont="1" applyFill="1" applyBorder="1" applyAlignment="1">
      <alignment/>
    </xf>
    <xf numFmtId="180" fontId="3" fillId="2" borderId="1" xfId="0" applyNumberFormat="1" applyFont="1" applyFill="1" applyBorder="1" applyAlignment="1">
      <alignment/>
    </xf>
    <xf numFmtId="181" fontId="3" fillId="2" borderId="1" xfId="0" applyNumberFormat="1" applyFont="1" applyFill="1" applyBorder="1" applyAlignment="1">
      <alignment/>
    </xf>
    <xf numFmtId="0" fontId="10" fillId="2" borderId="1" xfId="0" applyFont="1" applyFill="1" applyBorder="1" applyAlignment="1">
      <alignment/>
    </xf>
    <xf numFmtId="0" fontId="4" fillId="2" borderId="1" xfId="0" applyFont="1" applyFill="1" applyBorder="1" applyAlignment="1">
      <alignment horizontal="right"/>
    </xf>
    <xf numFmtId="4" fontId="4" fillId="2" borderId="1" xfId="0" applyNumberFormat="1" applyFont="1" applyFill="1" applyBorder="1" applyAlignment="1">
      <alignment/>
    </xf>
    <xf numFmtId="4" fontId="4" fillId="2" borderId="1" xfId="0" applyNumberFormat="1" applyFont="1" applyFill="1" applyBorder="1" applyAlignment="1">
      <alignment horizontal="center"/>
    </xf>
    <xf numFmtId="4" fontId="3" fillId="3" borderId="1" xfId="0" applyNumberFormat="1" applyFont="1" applyFill="1" applyBorder="1" applyAlignment="1">
      <alignment/>
    </xf>
    <xf numFmtId="4" fontId="1" fillId="2" borderId="1" xfId="0" applyNumberFormat="1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9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right"/>
    </xf>
    <xf numFmtId="4" fontId="3" fillId="0" borderId="1" xfId="0" applyNumberFormat="1" applyFont="1" applyBorder="1" applyAlignment="1">
      <alignment/>
    </xf>
    <xf numFmtId="1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/>
    </xf>
    <xf numFmtId="180" fontId="3" fillId="0" borderId="1" xfId="0" applyNumberFormat="1" applyFont="1" applyBorder="1" applyAlignment="1">
      <alignment/>
    </xf>
    <xf numFmtId="181" fontId="3" fillId="0" borderId="1" xfId="0" applyNumberFormat="1" applyFont="1" applyBorder="1" applyAlignment="1">
      <alignment/>
    </xf>
    <xf numFmtId="0" fontId="10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right"/>
    </xf>
    <xf numFmtId="4" fontId="4" fillId="0" borderId="1" xfId="0" applyNumberFormat="1" applyFont="1" applyBorder="1" applyAlignment="1">
      <alignment/>
    </xf>
    <xf numFmtId="4" fontId="6" fillId="0" borderId="1" xfId="0" applyNumberFormat="1" applyFont="1" applyBorder="1" applyAlignment="1">
      <alignment/>
    </xf>
    <xf numFmtId="1" fontId="5" fillId="0" borderId="1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/>
    </xf>
    <xf numFmtId="181" fontId="4" fillId="0" borderId="1" xfId="0" applyNumberFormat="1" applyFont="1" applyBorder="1" applyAlignment="1">
      <alignment/>
    </xf>
    <xf numFmtId="0" fontId="4" fillId="0" borderId="1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9" fillId="4" borderId="1" xfId="0" applyFont="1" applyFill="1" applyBorder="1" applyAlignment="1">
      <alignment/>
    </xf>
    <xf numFmtId="0" fontId="9" fillId="4" borderId="1" xfId="0" applyFont="1" applyFill="1" applyBorder="1" applyAlignment="1">
      <alignment horizontal="right"/>
    </xf>
    <xf numFmtId="4" fontId="4" fillId="4" borderId="1" xfId="0" applyNumberFormat="1" applyFont="1" applyFill="1" applyBorder="1" applyAlignment="1">
      <alignment/>
    </xf>
    <xf numFmtId="1" fontId="3" fillId="4" borderId="1" xfId="0" applyNumberFormat="1" applyFont="1" applyFill="1" applyBorder="1" applyAlignment="1">
      <alignment horizontal="center"/>
    </xf>
    <xf numFmtId="181" fontId="1" fillId="4" borderId="1" xfId="0" applyNumberFormat="1" applyFont="1" applyFill="1" applyBorder="1" applyAlignment="1">
      <alignment/>
    </xf>
    <xf numFmtId="1" fontId="3" fillId="4" borderId="1" xfId="0" applyNumberFormat="1" applyFont="1" applyFill="1" applyBorder="1" applyAlignment="1">
      <alignment/>
    </xf>
    <xf numFmtId="180" fontId="6" fillId="4" borderId="1" xfId="0" applyNumberFormat="1" applyFont="1" applyFill="1" applyBorder="1" applyAlignment="1">
      <alignment/>
    </xf>
    <xf numFmtId="3" fontId="3" fillId="4" borderId="1" xfId="0" applyNumberFormat="1" applyFont="1" applyFill="1" applyBorder="1" applyAlignment="1">
      <alignment/>
    </xf>
    <xf numFmtId="4" fontId="4" fillId="4" borderId="1" xfId="0" applyNumberFormat="1" applyFont="1" applyFill="1" applyBorder="1" applyAlignment="1">
      <alignment horizontal="center"/>
    </xf>
    <xf numFmtId="4" fontId="3" fillId="4" borderId="1" xfId="0" applyNumberFormat="1" applyFont="1" applyFill="1" applyBorder="1" applyAlignment="1">
      <alignment/>
    </xf>
    <xf numFmtId="4" fontId="4" fillId="4" borderId="1" xfId="0" applyNumberFormat="1" applyFont="1" applyFill="1" applyBorder="1" applyAlignment="1">
      <alignment horizontal="right"/>
    </xf>
    <xf numFmtId="181" fontId="5" fillId="0" borderId="1" xfId="0" applyNumberFormat="1" applyFont="1" applyBorder="1" applyAlignment="1">
      <alignment/>
    </xf>
    <xf numFmtId="1" fontId="4" fillId="4" borderId="1" xfId="0" applyNumberFormat="1" applyFont="1" applyFill="1" applyBorder="1" applyAlignment="1">
      <alignment/>
    </xf>
    <xf numFmtId="180" fontId="4" fillId="4" borderId="1" xfId="0" applyNumberFormat="1" applyFont="1" applyFill="1" applyBorder="1" applyAlignment="1">
      <alignment/>
    </xf>
    <xf numFmtId="0" fontId="3" fillId="2" borderId="1" xfId="0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/>
    </xf>
    <xf numFmtId="4" fontId="3" fillId="2" borderId="2" xfId="0" applyNumberFormat="1" applyFont="1" applyFill="1" applyBorder="1" applyAlignment="1">
      <alignment/>
    </xf>
    <xf numFmtId="4" fontId="3" fillId="4" borderId="2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7" fillId="5" borderId="3" xfId="0" applyFont="1" applyFill="1" applyBorder="1" applyAlignment="1">
      <alignment horizontal="center" vertical="center" wrapText="1"/>
    </xf>
    <xf numFmtId="4" fontId="8" fillId="5" borderId="4" xfId="0" applyNumberFormat="1" applyFont="1" applyFill="1" applyBorder="1" applyAlignment="1">
      <alignment/>
    </xf>
    <xf numFmtId="4" fontId="3" fillId="4" borderId="5" xfId="0" applyNumberFormat="1" applyFont="1" applyFill="1" applyBorder="1" applyAlignment="1">
      <alignment/>
    </xf>
    <xf numFmtId="4" fontId="8" fillId="5" borderId="6" xfId="0" applyNumberFormat="1" applyFont="1" applyFill="1" applyBorder="1" applyAlignment="1">
      <alignment/>
    </xf>
    <xf numFmtId="4" fontId="5" fillId="2" borderId="1" xfId="0" applyNumberFormat="1" applyFont="1" applyFill="1" applyBorder="1" applyAlignment="1">
      <alignment/>
    </xf>
    <xf numFmtId="0" fontId="5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" fontId="3" fillId="0" borderId="1" xfId="0" applyNumberFormat="1" applyFont="1" applyFill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 vertical="center" wrapText="1"/>
    </xf>
    <xf numFmtId="1" fontId="3" fillId="5" borderId="4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Alignment="1">
      <alignment/>
    </xf>
    <xf numFmtId="4" fontId="3" fillId="0" borderId="1" xfId="0" applyNumberFormat="1" applyFont="1" applyFill="1" applyBorder="1" applyAlignment="1">
      <alignment/>
    </xf>
    <xf numFmtId="4" fontId="7" fillId="4" borderId="5" xfId="0" applyNumberFormat="1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2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72"/>
  <sheetViews>
    <sheetView tabSelected="1" workbookViewId="0" topLeftCell="CB46">
      <selection activeCell="CK75" sqref="CK75"/>
    </sheetView>
  </sheetViews>
  <sheetFormatPr defaultColWidth="9.140625" defaultRowHeight="12.75"/>
  <cols>
    <col min="1" max="1" width="2.8515625" style="0" customWidth="1"/>
    <col min="2" max="2" width="12.57421875" style="0" customWidth="1"/>
    <col min="3" max="3" width="4.421875" style="0" customWidth="1"/>
    <col min="4" max="4" width="5.8515625" style="0" customWidth="1"/>
    <col min="5" max="5" width="4.00390625" style="0" customWidth="1"/>
    <col min="6" max="6" width="3.57421875" style="0" customWidth="1"/>
    <col min="7" max="7" width="3.7109375" style="0" customWidth="1"/>
    <col min="8" max="8" width="5.8515625" style="0" customWidth="1"/>
    <col min="9" max="9" width="4.28125" style="0" customWidth="1"/>
    <col min="10" max="10" width="10.28125" style="0" customWidth="1"/>
    <col min="11" max="11" width="7.421875" style="0" customWidth="1"/>
    <col min="12" max="12" width="6.421875" style="0" customWidth="1"/>
    <col min="13" max="13" width="8.28125" style="0" customWidth="1"/>
    <col min="14" max="14" width="8.7109375" style="0" customWidth="1"/>
    <col min="15" max="15" width="5.00390625" style="0" customWidth="1"/>
    <col min="16" max="16" width="3.00390625" style="0" customWidth="1"/>
    <col min="17" max="17" width="12.28125" style="0" customWidth="1"/>
    <col min="18" max="18" width="4.140625" style="0" customWidth="1"/>
    <col min="19" max="22" width="10.421875" style="0" bestFit="1" customWidth="1"/>
    <col min="23" max="23" width="11.8515625" style="0" customWidth="1"/>
    <col min="24" max="24" width="11.7109375" style="0" customWidth="1"/>
    <col min="25" max="25" width="10.28125" style="0" customWidth="1"/>
    <col min="26" max="26" width="5.421875" style="0" customWidth="1"/>
    <col min="27" max="27" width="13.7109375" style="0" customWidth="1"/>
    <col min="28" max="28" width="5.140625" style="0" customWidth="1"/>
    <col min="29" max="29" width="11.7109375" style="0" customWidth="1"/>
    <col min="30" max="30" width="10.8515625" style="0" customWidth="1"/>
    <col min="31" max="31" width="7.140625" style="0" customWidth="1"/>
    <col min="32" max="32" width="10.8515625" style="0" customWidth="1"/>
    <col min="33" max="33" width="10.140625" style="0" customWidth="1"/>
    <col min="34" max="34" width="10.421875" style="0" customWidth="1"/>
    <col min="35" max="35" width="10.00390625" style="0" customWidth="1"/>
    <col min="36" max="36" width="4.421875" style="0" customWidth="1"/>
    <col min="37" max="37" width="13.7109375" style="0" customWidth="1"/>
    <col min="38" max="38" width="6.421875" style="0" customWidth="1"/>
    <col min="39" max="39" width="12.7109375" style="0" customWidth="1"/>
    <col min="40" max="40" width="10.57421875" style="0" bestFit="1" customWidth="1"/>
    <col min="41" max="41" width="11.57421875" style="0" customWidth="1"/>
    <col min="42" max="42" width="10.421875" style="0" customWidth="1"/>
    <col min="43" max="43" width="11.7109375" style="0" customWidth="1"/>
    <col min="44" max="44" width="10.7109375" style="0" customWidth="1"/>
    <col min="45" max="45" width="4.00390625" style="0" customWidth="1"/>
    <col min="46" max="46" width="12.00390625" style="0" customWidth="1"/>
    <col min="47" max="47" width="5.00390625" style="0" customWidth="1"/>
    <col min="48" max="49" width="10.57421875" style="0" customWidth="1"/>
    <col min="50" max="51" width="8.8515625" style="0" customWidth="1"/>
    <col min="52" max="52" width="5.57421875" style="0" customWidth="1"/>
    <col min="53" max="53" width="10.57421875" style="0" customWidth="1"/>
    <col min="54" max="55" width="9.8515625" style="0" customWidth="1"/>
    <col min="56" max="56" width="5.00390625" style="0" customWidth="1"/>
    <col min="57" max="57" width="12.7109375" style="0" customWidth="1"/>
    <col min="58" max="58" width="5.57421875" style="0" customWidth="1"/>
    <col min="59" max="59" width="12.8515625" style="0" customWidth="1"/>
    <col min="60" max="60" width="11.7109375" style="0" customWidth="1"/>
    <col min="61" max="61" width="8.140625" style="0" customWidth="1"/>
    <col min="62" max="62" width="11.28125" style="0" customWidth="1"/>
    <col min="63" max="63" width="12.140625" style="0" customWidth="1"/>
    <col min="64" max="64" width="12.28125" style="0" customWidth="1"/>
    <col min="65" max="65" width="5.7109375" style="0" customWidth="1"/>
    <col min="66" max="66" width="13.00390625" style="0" customWidth="1"/>
    <col min="67" max="67" width="5.7109375" style="0" customWidth="1"/>
    <col min="68" max="68" width="11.57421875" style="0" customWidth="1"/>
    <col min="69" max="69" width="10.57421875" style="0" customWidth="1"/>
    <col min="70" max="71" width="11.57421875" style="0" customWidth="1"/>
    <col min="72" max="72" width="12.00390625" style="0" customWidth="1"/>
    <col min="73" max="73" width="14.00390625" style="0" customWidth="1"/>
    <col min="74" max="74" width="4.7109375" style="0" customWidth="1"/>
    <col min="75" max="75" width="12.57421875" style="0" customWidth="1"/>
    <col min="76" max="76" width="7.140625" style="0" customWidth="1"/>
    <col min="77" max="77" width="11.8515625" style="0" customWidth="1"/>
    <col min="78" max="78" width="8.28125" style="0" customWidth="1"/>
    <col min="79" max="79" width="11.7109375" style="0" customWidth="1"/>
    <col min="80" max="80" width="13.00390625" style="0" customWidth="1"/>
    <col min="81" max="81" width="12.00390625" style="0" customWidth="1"/>
    <col min="82" max="82" width="12.28125" style="0" customWidth="1"/>
    <col min="83" max="83" width="5.57421875" style="0" customWidth="1"/>
    <col min="84" max="84" width="12.140625" style="0" customWidth="1"/>
    <col min="85" max="85" width="6.00390625" style="0" customWidth="1"/>
    <col min="86" max="86" width="10.8515625" style="0" customWidth="1"/>
    <col min="87" max="87" width="10.421875" style="0" bestFit="1" customWidth="1"/>
    <col min="88" max="88" width="9.8515625" style="0" customWidth="1"/>
    <col min="89" max="89" width="10.421875" style="0" bestFit="1" customWidth="1"/>
    <col min="90" max="90" width="12.140625" style="0" customWidth="1"/>
    <col min="91" max="91" width="12.57421875" style="0" customWidth="1"/>
  </cols>
  <sheetData>
    <row r="1" spans="1:91" ht="12.75">
      <c r="A1" s="85" t="s">
        <v>87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1"/>
      <c r="Q1" s="1"/>
      <c r="R1" s="1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</row>
    <row r="2" spans="1:91" ht="13.5">
      <c r="A2" s="81" t="s">
        <v>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3"/>
      <c r="Q2" s="3"/>
      <c r="R2" s="81"/>
      <c r="S2" s="81"/>
      <c r="T2" s="81"/>
      <c r="U2" s="81"/>
      <c r="V2" s="81"/>
      <c r="W2" s="81"/>
      <c r="X2" s="81"/>
      <c r="Y2" s="2"/>
      <c r="Z2" s="2"/>
      <c r="AA2" s="81"/>
      <c r="AB2" s="81"/>
      <c r="AC2" s="81"/>
      <c r="AD2" s="81"/>
      <c r="AE2" s="81"/>
      <c r="AF2" s="81"/>
      <c r="AG2" s="81"/>
      <c r="AH2" s="81"/>
      <c r="AI2" s="81"/>
      <c r="AJ2" s="2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2"/>
      <c r="AZ2" s="2"/>
      <c r="BA2" s="2"/>
      <c r="BB2" s="2"/>
      <c r="BC2" s="2"/>
      <c r="BD2" s="81"/>
      <c r="BE2" s="81"/>
      <c r="BF2" s="81"/>
      <c r="BG2" s="81"/>
      <c r="BH2" s="81"/>
      <c r="BI2" s="81"/>
      <c r="BJ2" s="81"/>
      <c r="BK2" s="81"/>
      <c r="BL2" s="2"/>
      <c r="BM2" s="2"/>
      <c r="BN2" s="81"/>
      <c r="BO2" s="81"/>
      <c r="BP2" s="81"/>
      <c r="BQ2" s="81"/>
      <c r="BR2" s="81"/>
      <c r="BS2" s="81"/>
      <c r="BT2" s="81"/>
      <c r="BU2" s="81"/>
      <c r="BV2" s="2"/>
      <c r="BW2" s="81"/>
      <c r="BX2" s="81"/>
      <c r="BY2" s="81"/>
      <c r="BZ2" s="81"/>
      <c r="CA2" s="81"/>
      <c r="CB2" s="81"/>
      <c r="CC2" s="81"/>
      <c r="CD2" s="81"/>
      <c r="CE2" s="81"/>
      <c r="CF2" s="82">
        <v>9</v>
      </c>
      <c r="CG2" s="82"/>
      <c r="CH2" s="82"/>
      <c r="CI2" s="82"/>
      <c r="CJ2" s="82"/>
      <c r="CK2" s="82"/>
      <c r="CL2" s="82"/>
      <c r="CM2" s="82"/>
    </row>
    <row r="3" spans="1:91" ht="14.25" thickBot="1">
      <c r="A3" s="3"/>
      <c r="B3" s="83" t="s">
        <v>106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3"/>
      <c r="Q3" s="3"/>
      <c r="R3" s="3"/>
      <c r="S3" s="2"/>
      <c r="T3" s="2"/>
      <c r="U3" s="2"/>
      <c r="V3" s="2"/>
      <c r="W3" s="2"/>
      <c r="X3" s="2"/>
      <c r="Y3" s="2">
        <v>2</v>
      </c>
      <c r="Z3" s="2"/>
      <c r="AA3" s="2"/>
      <c r="AB3" s="2"/>
      <c r="AC3" s="2"/>
      <c r="AD3" s="2"/>
      <c r="AE3" s="2"/>
      <c r="AF3" s="2"/>
      <c r="AG3" s="2"/>
      <c r="AH3" s="2"/>
      <c r="AI3" s="2">
        <v>3</v>
      </c>
      <c r="AJ3" s="2"/>
      <c r="AK3" s="2"/>
      <c r="AL3" s="2"/>
      <c r="AM3" s="2"/>
      <c r="AN3" s="2"/>
      <c r="AO3" s="2"/>
      <c r="AP3" s="2"/>
      <c r="AQ3" s="2"/>
      <c r="AR3" s="2">
        <v>4</v>
      </c>
      <c r="AS3" s="2"/>
      <c r="AT3" s="2"/>
      <c r="AU3" s="2"/>
      <c r="AV3" s="2"/>
      <c r="AW3" s="2"/>
      <c r="AX3" s="2"/>
      <c r="AY3" s="2"/>
      <c r="AZ3" s="2"/>
      <c r="BA3" s="2"/>
      <c r="BB3" s="2"/>
      <c r="BC3" s="2">
        <v>5</v>
      </c>
      <c r="BD3" s="2"/>
      <c r="BE3" s="2"/>
      <c r="BF3" s="2"/>
      <c r="BG3" s="2"/>
      <c r="BH3" s="2"/>
      <c r="BI3" s="2"/>
      <c r="BJ3" s="2"/>
      <c r="BK3" s="2"/>
      <c r="BL3" s="2">
        <v>6</v>
      </c>
      <c r="BM3" s="2"/>
      <c r="BN3" s="2"/>
      <c r="BO3" s="2"/>
      <c r="BP3" s="2"/>
      <c r="BQ3" s="2"/>
      <c r="BR3" s="2"/>
      <c r="BS3" s="2"/>
      <c r="BT3" s="2"/>
      <c r="BU3" s="2">
        <v>7</v>
      </c>
      <c r="BV3" s="2"/>
      <c r="BW3" s="2"/>
      <c r="BX3" s="2"/>
      <c r="BY3" s="2"/>
      <c r="BZ3" s="2"/>
      <c r="CA3" s="2"/>
      <c r="CB3" s="2"/>
      <c r="CC3" s="2"/>
      <c r="CD3" s="2">
        <v>8</v>
      </c>
      <c r="CE3" s="2"/>
      <c r="CF3" s="2"/>
      <c r="CG3" s="2"/>
      <c r="CH3" s="2"/>
      <c r="CI3" s="2"/>
      <c r="CJ3" s="2"/>
      <c r="CK3" s="2"/>
      <c r="CL3" s="84" t="s">
        <v>1</v>
      </c>
      <c r="CM3" s="84"/>
    </row>
    <row r="4" spans="1:92" ht="48" customHeight="1">
      <c r="A4" s="4" t="s">
        <v>2</v>
      </c>
      <c r="B4" s="4" t="s">
        <v>3</v>
      </c>
      <c r="C4" s="5" t="s">
        <v>4</v>
      </c>
      <c r="D4" s="6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8" t="s">
        <v>11</v>
      </c>
      <c r="K4" s="6" t="s">
        <v>12</v>
      </c>
      <c r="L4" s="6" t="s">
        <v>13</v>
      </c>
      <c r="M4" s="7" t="s">
        <v>14</v>
      </c>
      <c r="N4" s="8" t="s">
        <v>15</v>
      </c>
      <c r="O4" s="7" t="s">
        <v>16</v>
      </c>
      <c r="P4" s="4" t="s">
        <v>2</v>
      </c>
      <c r="Q4" s="4" t="s">
        <v>3</v>
      </c>
      <c r="R4" s="5" t="s">
        <v>4</v>
      </c>
      <c r="S4" s="71" t="s">
        <v>89</v>
      </c>
      <c r="T4" s="71" t="s">
        <v>88</v>
      </c>
      <c r="U4" s="71" t="s">
        <v>90</v>
      </c>
      <c r="V4" s="71" t="s">
        <v>91</v>
      </c>
      <c r="W4" s="71" t="s">
        <v>92</v>
      </c>
      <c r="X4" s="6" t="s">
        <v>93</v>
      </c>
      <c r="Y4" s="7" t="s">
        <v>94</v>
      </c>
      <c r="Z4" s="4" t="s">
        <v>2</v>
      </c>
      <c r="AA4" s="4" t="s">
        <v>3</v>
      </c>
      <c r="AB4" s="5" t="s">
        <v>4</v>
      </c>
      <c r="AC4" s="7" t="s">
        <v>102</v>
      </c>
      <c r="AD4" s="72" t="s">
        <v>17</v>
      </c>
      <c r="AE4" s="6" t="s">
        <v>18</v>
      </c>
      <c r="AF4" s="7" t="s">
        <v>19</v>
      </c>
      <c r="AG4" s="6" t="s">
        <v>20</v>
      </c>
      <c r="AH4" s="6" t="s">
        <v>21</v>
      </c>
      <c r="AI4" s="6" t="s">
        <v>22</v>
      </c>
      <c r="AJ4" s="4" t="s">
        <v>2</v>
      </c>
      <c r="AK4" s="4" t="s">
        <v>3</v>
      </c>
      <c r="AL4" s="5" t="s">
        <v>4</v>
      </c>
      <c r="AM4" s="9" t="s">
        <v>23</v>
      </c>
      <c r="AN4" s="8" t="s">
        <v>18</v>
      </c>
      <c r="AO4" s="8" t="s">
        <v>108</v>
      </c>
      <c r="AP4" s="8" t="s">
        <v>24</v>
      </c>
      <c r="AQ4" s="7" t="s">
        <v>25</v>
      </c>
      <c r="AR4" s="8" t="s">
        <v>26</v>
      </c>
      <c r="AS4" s="4" t="s">
        <v>2</v>
      </c>
      <c r="AT4" s="4" t="s">
        <v>3</v>
      </c>
      <c r="AU4" s="5" t="s">
        <v>4</v>
      </c>
      <c r="AV4" s="6" t="s">
        <v>27</v>
      </c>
      <c r="AW4" s="73" t="s">
        <v>95</v>
      </c>
      <c r="AX4" s="10" t="s">
        <v>96</v>
      </c>
      <c r="AY4" s="6" t="s">
        <v>28</v>
      </c>
      <c r="AZ4" s="10" t="s">
        <v>29</v>
      </c>
      <c r="BA4" s="6" t="s">
        <v>97</v>
      </c>
      <c r="BB4" s="6" t="s">
        <v>30</v>
      </c>
      <c r="BC4" s="7" t="s">
        <v>31</v>
      </c>
      <c r="BD4" s="4" t="s">
        <v>2</v>
      </c>
      <c r="BE4" s="4" t="s">
        <v>3</v>
      </c>
      <c r="BF4" s="5" t="s">
        <v>4</v>
      </c>
      <c r="BG4" s="7" t="s">
        <v>32</v>
      </c>
      <c r="BH4" s="6" t="s">
        <v>98</v>
      </c>
      <c r="BI4" s="6" t="s">
        <v>33</v>
      </c>
      <c r="BJ4" s="7" t="s">
        <v>34</v>
      </c>
      <c r="BK4" s="7" t="s">
        <v>35</v>
      </c>
      <c r="BL4" s="7" t="s">
        <v>36</v>
      </c>
      <c r="BM4" s="4" t="s">
        <v>2</v>
      </c>
      <c r="BN4" s="4" t="s">
        <v>3</v>
      </c>
      <c r="BO4" s="5" t="s">
        <v>4</v>
      </c>
      <c r="BP4" s="6" t="s">
        <v>37</v>
      </c>
      <c r="BQ4" s="8" t="s">
        <v>38</v>
      </c>
      <c r="BR4" s="8" t="s">
        <v>39</v>
      </c>
      <c r="BS4" s="7" t="s">
        <v>99</v>
      </c>
      <c r="BT4" s="7" t="s">
        <v>40</v>
      </c>
      <c r="BU4" s="6" t="s">
        <v>100</v>
      </c>
      <c r="BV4" s="4" t="s">
        <v>2</v>
      </c>
      <c r="BW4" s="4" t="s">
        <v>3</v>
      </c>
      <c r="BX4" s="5" t="s">
        <v>4</v>
      </c>
      <c r="BY4" s="60" t="s">
        <v>41</v>
      </c>
      <c r="BZ4" s="7" t="s">
        <v>42</v>
      </c>
      <c r="CA4" s="8" t="s">
        <v>43</v>
      </c>
      <c r="CB4" s="8" t="s">
        <v>44</v>
      </c>
      <c r="CC4" s="9" t="s">
        <v>45</v>
      </c>
      <c r="CD4" s="8" t="s">
        <v>103</v>
      </c>
      <c r="CE4" s="4" t="s">
        <v>2</v>
      </c>
      <c r="CF4" s="4" t="s">
        <v>3</v>
      </c>
      <c r="CG4" s="5" t="s">
        <v>4</v>
      </c>
      <c r="CH4" s="9" t="s">
        <v>46</v>
      </c>
      <c r="CI4" s="10" t="s">
        <v>47</v>
      </c>
      <c r="CJ4" s="10" t="s">
        <v>48</v>
      </c>
      <c r="CK4" s="11" t="s">
        <v>101</v>
      </c>
      <c r="CL4" s="66" t="s">
        <v>104</v>
      </c>
      <c r="CM4" s="66" t="s">
        <v>105</v>
      </c>
      <c r="CN4" s="74"/>
    </row>
    <row r="5" spans="1:105" ht="12.75">
      <c r="A5" s="4">
        <v>1</v>
      </c>
      <c r="B5" s="4">
        <v>2</v>
      </c>
      <c r="C5" s="4">
        <v>3</v>
      </c>
      <c r="D5" s="4">
        <v>5</v>
      </c>
      <c r="E5" s="4">
        <v>6</v>
      </c>
      <c r="F5" s="4">
        <v>7</v>
      </c>
      <c r="G5" s="4">
        <v>8</v>
      </c>
      <c r="H5" s="4">
        <v>9</v>
      </c>
      <c r="I5" s="4">
        <v>10</v>
      </c>
      <c r="J5" s="4">
        <v>11</v>
      </c>
      <c r="K5" s="4">
        <v>12</v>
      </c>
      <c r="L5" s="4">
        <v>13</v>
      </c>
      <c r="M5" s="4">
        <v>14</v>
      </c>
      <c r="N5" s="4">
        <v>15</v>
      </c>
      <c r="O5" s="4">
        <v>16</v>
      </c>
      <c r="P5" s="4">
        <v>17.3142857142857</v>
      </c>
      <c r="Q5" s="75">
        <v>18.3142857142857</v>
      </c>
      <c r="R5" s="75">
        <v>19.4428571428571</v>
      </c>
      <c r="S5" s="75">
        <v>20.5071428571429</v>
      </c>
      <c r="T5" s="75">
        <v>21.5714285714286</v>
      </c>
      <c r="U5" s="75">
        <v>22.6357142857143</v>
      </c>
      <c r="V5" s="75">
        <v>23.7</v>
      </c>
      <c r="W5" s="75">
        <v>24.7642857142857</v>
      </c>
      <c r="X5" s="75">
        <v>25.8285714285714</v>
      </c>
      <c r="Y5" s="75">
        <v>26.8928571428571</v>
      </c>
      <c r="Z5" s="75">
        <v>27.9571428571429</v>
      </c>
      <c r="AA5" s="75">
        <v>29.0214285714286</v>
      </c>
      <c r="AB5" s="75">
        <v>30.0857142857143</v>
      </c>
      <c r="AC5" s="75">
        <v>31.15</v>
      </c>
      <c r="AD5" s="75">
        <v>32.2142857142857</v>
      </c>
      <c r="AE5" s="75">
        <v>33.2785714285714</v>
      </c>
      <c r="AF5" s="75">
        <v>34.3428571428571</v>
      </c>
      <c r="AG5" s="75">
        <v>35.4071428571429</v>
      </c>
      <c r="AH5" s="75">
        <v>36.4714285714286</v>
      </c>
      <c r="AI5" s="75">
        <v>37.5357142857143</v>
      </c>
      <c r="AJ5" s="75">
        <v>38.6</v>
      </c>
      <c r="AK5" s="75">
        <v>39.6642857142857</v>
      </c>
      <c r="AL5" s="75">
        <v>40.7285714285714</v>
      </c>
      <c r="AM5" s="75">
        <v>41.7928571428571</v>
      </c>
      <c r="AN5" s="75">
        <v>42.8571428571429</v>
      </c>
      <c r="AO5" s="75">
        <v>43.9214285714286</v>
      </c>
      <c r="AP5" s="75">
        <v>44.9857142857143</v>
      </c>
      <c r="AQ5" s="75">
        <v>46.05</v>
      </c>
      <c r="AR5" s="75">
        <v>47.1142857142857</v>
      </c>
      <c r="AS5" s="75">
        <v>48.1785714285714</v>
      </c>
      <c r="AT5" s="75">
        <v>49.2428571428571</v>
      </c>
      <c r="AU5" s="75">
        <v>50.3071428571429</v>
      </c>
      <c r="AV5" s="75">
        <v>51.3714285714286</v>
      </c>
      <c r="AW5" s="75">
        <v>52.4357142857143</v>
      </c>
      <c r="AX5" s="75">
        <v>53.5</v>
      </c>
      <c r="AY5" s="75">
        <v>54.5642857142857</v>
      </c>
      <c r="AZ5" s="75">
        <v>55.6285714285714</v>
      </c>
      <c r="BA5" s="75">
        <v>56.6928571428571</v>
      </c>
      <c r="BB5" s="75">
        <v>57.7571428571429</v>
      </c>
      <c r="BC5" s="75">
        <v>58.8214285714286</v>
      </c>
      <c r="BD5" s="75">
        <v>59.8857142857143</v>
      </c>
      <c r="BE5" s="75">
        <v>60.95</v>
      </c>
      <c r="BF5" s="75">
        <v>62.0142857142857</v>
      </c>
      <c r="BG5" s="75">
        <v>63.0785714285714</v>
      </c>
      <c r="BH5" s="75">
        <v>64.1428571428571</v>
      </c>
      <c r="BI5" s="75">
        <v>65.2071428571429</v>
      </c>
      <c r="BJ5" s="75">
        <v>66.2714285714286</v>
      </c>
      <c r="BK5" s="75">
        <v>67.3357142857143</v>
      </c>
      <c r="BL5" s="75">
        <v>68.4</v>
      </c>
      <c r="BM5" s="75">
        <v>69.4642857142857</v>
      </c>
      <c r="BN5" s="75">
        <v>70.5285714285714</v>
      </c>
      <c r="BO5" s="75">
        <v>71.5928571428571</v>
      </c>
      <c r="BP5" s="75">
        <v>72.6571428571428</v>
      </c>
      <c r="BQ5" s="75">
        <v>73.7214285714286</v>
      </c>
      <c r="BR5" s="75">
        <v>74.7857142857143</v>
      </c>
      <c r="BS5" s="75">
        <v>75.85</v>
      </c>
      <c r="BT5" s="75">
        <v>76.9142857142857</v>
      </c>
      <c r="BU5" s="75">
        <v>77.9785714285714</v>
      </c>
      <c r="BV5" s="75">
        <v>79.0428571428571</v>
      </c>
      <c r="BW5" s="75">
        <v>80.1071428571429</v>
      </c>
      <c r="BX5" s="75">
        <v>81.1714285714286</v>
      </c>
      <c r="BY5" s="75">
        <v>82.2357142857143</v>
      </c>
      <c r="BZ5" s="75">
        <v>83.3</v>
      </c>
      <c r="CA5" s="75">
        <v>84.3642857142857</v>
      </c>
      <c r="CB5" s="75">
        <v>85.4285714285714</v>
      </c>
      <c r="CC5" s="75">
        <v>86.4928571428571</v>
      </c>
      <c r="CD5" s="75">
        <v>87.5571428571429</v>
      </c>
      <c r="CE5" s="75">
        <v>88.6214285714286</v>
      </c>
      <c r="CF5" s="75">
        <v>89.6857142857143</v>
      </c>
      <c r="CG5" s="75">
        <v>90.75</v>
      </c>
      <c r="CH5" s="75">
        <v>91.8142857142857</v>
      </c>
      <c r="CI5" s="75">
        <v>92.8785714285714</v>
      </c>
      <c r="CJ5" s="75">
        <v>93.9428571428571</v>
      </c>
      <c r="CK5" s="76">
        <v>95.0071428571429</v>
      </c>
      <c r="CL5" s="77">
        <v>96.0714285714286</v>
      </c>
      <c r="CM5" s="77">
        <v>97.1357142857143</v>
      </c>
      <c r="CN5" s="78"/>
      <c r="CO5" s="65"/>
      <c r="CP5" s="65"/>
      <c r="CQ5" s="65"/>
      <c r="CR5" s="65"/>
      <c r="CS5" s="65"/>
      <c r="CT5" s="65"/>
      <c r="CU5" s="65"/>
      <c r="CV5" s="65"/>
      <c r="CW5" s="65"/>
      <c r="CX5" s="65"/>
      <c r="CY5" s="65"/>
      <c r="CZ5" s="65"/>
      <c r="DA5" s="65"/>
    </row>
    <row r="6" spans="1:92" ht="11.25" customHeight="1">
      <c r="A6" s="12">
        <v>1</v>
      </c>
      <c r="B6" s="13" t="s">
        <v>49</v>
      </c>
      <c r="C6" s="14">
        <v>1</v>
      </c>
      <c r="D6" s="16">
        <v>1981</v>
      </c>
      <c r="E6" s="17">
        <v>2</v>
      </c>
      <c r="F6" s="17">
        <v>9</v>
      </c>
      <c r="G6" s="17">
        <v>2</v>
      </c>
      <c r="H6" s="17">
        <v>72</v>
      </c>
      <c r="I6" s="17"/>
      <c r="J6" s="18">
        <v>464.42</v>
      </c>
      <c r="K6" s="19">
        <f>1270</f>
        <v>1270</v>
      </c>
      <c r="L6" s="20">
        <v>0</v>
      </c>
      <c r="M6" s="20">
        <v>2496</v>
      </c>
      <c r="N6" s="20">
        <v>1900</v>
      </c>
      <c r="O6" s="17">
        <v>2</v>
      </c>
      <c r="P6" s="12">
        <v>1</v>
      </c>
      <c r="Q6" s="21" t="s">
        <v>49</v>
      </c>
      <c r="R6" s="22">
        <v>1</v>
      </c>
      <c r="S6" s="15">
        <v>3728.3</v>
      </c>
      <c r="T6" s="15">
        <v>3728.3</v>
      </c>
      <c r="U6" s="23">
        <v>27.64</v>
      </c>
      <c r="V6" s="23">
        <v>29.19</v>
      </c>
      <c r="W6" s="23">
        <f>(S6*U6*6)+(T6*V6*6)</f>
        <v>1271275.7340000002</v>
      </c>
      <c r="X6" s="23">
        <f>AC6*1.18</f>
        <v>1235496.2629842025</v>
      </c>
      <c r="Y6" s="23">
        <f>W6-X6</f>
        <v>35779.471015797695</v>
      </c>
      <c r="Z6" s="12">
        <v>1</v>
      </c>
      <c r="AA6" s="21" t="s">
        <v>49</v>
      </c>
      <c r="AB6" s="22">
        <v>1</v>
      </c>
      <c r="AC6" s="24">
        <f>AD6+AM6+BG6+BY6+CH6+CI6+CJ6+CK6+CD6</f>
        <v>1047030.7313425445</v>
      </c>
      <c r="AD6" s="15">
        <f>AH6+AI6</f>
        <v>253293.82824974094</v>
      </c>
      <c r="AE6" s="15">
        <f>2.58*1.078*0.997053</f>
        <v>2.7730436857200003</v>
      </c>
      <c r="AF6" s="15">
        <f>5742226.69/84.6*AE6</f>
        <v>188220.39556356214</v>
      </c>
      <c r="AG6" s="15">
        <f>1734152.461/5742226.69*AF6</f>
        <v>56842.5594805183</v>
      </c>
      <c r="AH6" s="15">
        <f aca="true" t="shared" si="0" ref="AH6:AH66">AF6+AG6</f>
        <v>245062.95504408045</v>
      </c>
      <c r="AI6" s="15">
        <f>251107.43/84.6*AE6</f>
        <v>8230.873205660484</v>
      </c>
      <c r="AJ6" s="12">
        <v>1</v>
      </c>
      <c r="AK6" s="21" t="s">
        <v>49</v>
      </c>
      <c r="AL6" s="22">
        <v>1</v>
      </c>
      <c r="AM6" s="15">
        <f>AO6+AP6+AQ6+AR6+AV6+BA6+BB6+BC6</f>
        <v>250895.7573220594</v>
      </c>
      <c r="AN6" s="15">
        <f>(0.807+0.018)*1.003*0.9976247</f>
        <v>0.8255094986325</v>
      </c>
      <c r="AO6" s="15">
        <f>8861287.68/63*AN6</f>
        <v>116112.33571357379</v>
      </c>
      <c r="AP6" s="15">
        <f>2676108.88/8861287.68*AO6</f>
        <v>35065.925393885416</v>
      </c>
      <c r="AQ6" s="25">
        <f>2871088.48/205585.77*T6</f>
        <v>52067.21836819738</v>
      </c>
      <c r="AR6" s="26">
        <f>120042.72/74*(AN6+AZ6)</f>
        <v>1662.745146472037</v>
      </c>
      <c r="AS6" s="12">
        <v>1</v>
      </c>
      <c r="AT6" s="21" t="s">
        <v>49</v>
      </c>
      <c r="AU6" s="22">
        <v>1</v>
      </c>
      <c r="AV6" s="26">
        <f>AW6+AX6+AY6</f>
        <v>3282.286569646569</v>
      </c>
      <c r="AW6" s="15">
        <f>163220.53/4329*H6</f>
        <v>2714.6865696465693</v>
      </c>
      <c r="AX6" s="26">
        <f>283.8*G6</f>
        <v>567.6</v>
      </c>
      <c r="AY6" s="26"/>
      <c r="AZ6" s="23">
        <f>11/205585.77*T6</f>
        <v>0.1994851102778174</v>
      </c>
      <c r="BA6" s="23">
        <f>1541919.72/11*AZ6</f>
        <v>27962.729580340118</v>
      </c>
      <c r="BB6" s="23">
        <f>465659.76/1541919.72*BA6</f>
        <v>8444.744415958361</v>
      </c>
      <c r="BC6" s="61">
        <f>347271.5/205585.77*T6</f>
        <v>6297.7721339857335</v>
      </c>
      <c r="BD6" s="12">
        <v>1</v>
      </c>
      <c r="BE6" s="21" t="s">
        <v>49</v>
      </c>
      <c r="BF6" s="22">
        <v>1</v>
      </c>
      <c r="BG6" s="15">
        <f>BH6+BI6+BJ6+BK6+BL6+BP6+BQ6+BR6+BS6+BT6+BU6</f>
        <v>249397.72132359253</v>
      </c>
      <c r="BH6" s="26">
        <f>183169.53/205585.77*T6</f>
        <v>3321.781262871453</v>
      </c>
      <c r="BI6" s="15">
        <f>28000/37*2</f>
        <v>1513.5135135135135</v>
      </c>
      <c r="BJ6" s="15">
        <f>154631.87/37*2</f>
        <v>8358.479459459459</v>
      </c>
      <c r="BK6" s="15">
        <f>40879.49/37*2</f>
        <v>2209.702162162162</v>
      </c>
      <c r="BL6" s="15">
        <f>4120320/37*2</f>
        <v>222720</v>
      </c>
      <c r="BM6" s="12">
        <v>1</v>
      </c>
      <c r="BN6" s="21" t="s">
        <v>49</v>
      </c>
      <c r="BO6" s="22">
        <v>1</v>
      </c>
      <c r="BP6" s="15">
        <f>24081.76/4329*H6</f>
        <v>400.52823284823285</v>
      </c>
      <c r="BQ6" s="15"/>
      <c r="BR6" s="15"/>
      <c r="BS6" s="15">
        <f>175314.3/205585.77*T6</f>
        <v>3179.32658807076</v>
      </c>
      <c r="BT6" s="15">
        <f>6300*100/118*0.8</f>
        <v>4271.186440677967</v>
      </c>
      <c r="BU6" s="15">
        <f>188762.16/205585.77*T6</f>
        <v>3423.203663989001</v>
      </c>
      <c r="BV6" s="12">
        <v>1</v>
      </c>
      <c r="BW6" s="21" t="s">
        <v>49</v>
      </c>
      <c r="BX6" s="22">
        <v>1</v>
      </c>
      <c r="BY6" s="18">
        <f>CA6+CB6+CC6</f>
        <v>181791.44301471594</v>
      </c>
      <c r="BZ6" s="18">
        <f>39.6/205585.77*T6</f>
        <v>0.7181463970001426</v>
      </c>
      <c r="CA6" s="15">
        <f>7176800.48/39.6*BZ6</f>
        <v>130151.34865406298</v>
      </c>
      <c r="CB6" s="15">
        <f>2167393.74/7176800.48*CA6</f>
        <v>39305.70720357737</v>
      </c>
      <c r="CC6" s="15">
        <f>680142.285/39.6*BZ6</f>
        <v>12334.38715707561</v>
      </c>
      <c r="CD6" s="15">
        <f>727550.74/205585.77*T6</f>
        <v>13194.139963782512</v>
      </c>
      <c r="CE6" s="12">
        <v>1</v>
      </c>
      <c r="CF6" s="21" t="s">
        <v>49</v>
      </c>
      <c r="CG6" s="22">
        <v>1</v>
      </c>
      <c r="CH6" s="15">
        <f>3431053.93/205585.77*T6</f>
        <v>62222.197417744435</v>
      </c>
      <c r="CI6" s="15">
        <f>660008.74/205585.77*T6</f>
        <v>11969.265116656665</v>
      </c>
      <c r="CJ6" s="15">
        <f>1285007.7/205585.77*T6</f>
        <v>23303.627522031315</v>
      </c>
      <c r="CK6" s="62">
        <f>53088/205585.77*T6</f>
        <v>962.7514122207972</v>
      </c>
      <c r="CL6" s="67">
        <f>(4.66*S6*6)+(4.89*T6*6)</f>
        <v>213631.59</v>
      </c>
      <c r="CM6" s="67">
        <f>CL6*100/118</f>
        <v>181043.72033898305</v>
      </c>
      <c r="CN6" s="74"/>
    </row>
    <row r="7" spans="1:92" ht="11.25" customHeight="1">
      <c r="A7" s="27">
        <v>2</v>
      </c>
      <c r="B7" s="28" t="s">
        <v>49</v>
      </c>
      <c r="C7" s="29" t="s">
        <v>50</v>
      </c>
      <c r="D7" s="31">
        <v>1958</v>
      </c>
      <c r="E7" s="32">
        <v>4</v>
      </c>
      <c r="F7" s="32">
        <v>3</v>
      </c>
      <c r="G7" s="32"/>
      <c r="H7" s="32">
        <v>30</v>
      </c>
      <c r="I7" s="32"/>
      <c r="J7" s="33">
        <v>202</v>
      </c>
      <c r="K7" s="34">
        <f>1510+530+723</f>
        <v>2763</v>
      </c>
      <c r="L7" s="35">
        <v>0</v>
      </c>
      <c r="M7" s="35">
        <v>0</v>
      </c>
      <c r="N7" s="35">
        <v>4007</v>
      </c>
      <c r="O7" s="32"/>
      <c r="P7" s="27">
        <v>2</v>
      </c>
      <c r="Q7" s="36" t="s">
        <v>49</v>
      </c>
      <c r="R7" s="37" t="s">
        <v>50</v>
      </c>
      <c r="S7" s="30">
        <v>1930.6</v>
      </c>
      <c r="T7" s="30">
        <v>1930.6</v>
      </c>
      <c r="U7" s="23">
        <v>20.35</v>
      </c>
      <c r="V7" s="23">
        <v>21.98</v>
      </c>
      <c r="W7" s="23">
        <f>(S7*U7*6)+(510.5*V7*6)+1420.1*21.2*6</f>
        <v>483687.72</v>
      </c>
      <c r="X7" s="23">
        <f aca="true" t="shared" si="1" ref="X7:X65">AC7*1.18</f>
        <v>564866.8978428056</v>
      </c>
      <c r="Y7" s="23">
        <f aca="true" t="shared" si="2" ref="Y7:Y68">W7-X7</f>
        <v>-81179.17784280563</v>
      </c>
      <c r="Z7" s="27">
        <v>2</v>
      </c>
      <c r="AA7" s="36" t="s">
        <v>49</v>
      </c>
      <c r="AB7" s="37" t="s">
        <v>50</v>
      </c>
      <c r="AC7" s="24">
        <f aca="true" t="shared" si="3" ref="AC7:AC67">AD7+AM7+BG7+BY7+CH7+CI7+CJ7+CK7+CD7</f>
        <v>478700.76088373363</v>
      </c>
      <c r="AD7" s="15">
        <f aca="true" t="shared" si="4" ref="AD7:AD66">AH7+AI7</f>
        <v>148245.6126577941</v>
      </c>
      <c r="AE7" s="30">
        <f>1.51*1.078*0.997053</f>
        <v>1.62298293234</v>
      </c>
      <c r="AF7" s="15">
        <f aca="true" t="shared" si="5" ref="AF7:AF66">5742226.69/84.6*AE7</f>
        <v>110159.99895386776</v>
      </c>
      <c r="AG7" s="15">
        <f aca="true" t="shared" si="6" ref="AG7:AG66">1734152.461/5742226.69*AF7</f>
        <v>33268.31969596226</v>
      </c>
      <c r="AH7" s="30">
        <f t="shared" si="0"/>
        <v>143428.31864983</v>
      </c>
      <c r="AI7" s="15">
        <f aca="true" t="shared" si="7" ref="AI7:AI66">251107.43/84.6*AE7</f>
        <v>4817.294007964081</v>
      </c>
      <c r="AJ7" s="27">
        <v>2</v>
      </c>
      <c r="AK7" s="36" t="s">
        <v>49</v>
      </c>
      <c r="AL7" s="37" t="s">
        <v>50</v>
      </c>
      <c r="AM7" s="15">
        <f aca="true" t="shared" si="8" ref="AM7:AM66">AO7+AP7+AQ7+AR7+AV7+BA7+BB7+BC7</f>
        <v>170909.02889824318</v>
      </c>
      <c r="AN7" s="30">
        <f>(0.634+0.018)*1.003*0.9976247</f>
        <v>0.6524026583132</v>
      </c>
      <c r="AO7" s="15">
        <f aca="true" t="shared" si="9" ref="AO7:AO66">8861287.68/63*AN7</f>
        <v>91763.93077000012</v>
      </c>
      <c r="AP7" s="15">
        <f aca="true" t="shared" si="10" ref="AP7:AP66">2676108.88/8861287.68*AO7</f>
        <v>27712.70709916762</v>
      </c>
      <c r="AQ7" s="25">
        <f aca="true" t="shared" si="11" ref="AQ7:AQ66">2871088.48/205585.77*T7</f>
        <v>26961.610326862603</v>
      </c>
      <c r="AR7" s="26">
        <f aca="true" t="shared" si="12" ref="AR7:AR66">120042.72/74*(AN7+AZ7)</f>
        <v>1225.8967998626485</v>
      </c>
      <c r="AS7" s="27">
        <v>2</v>
      </c>
      <c r="AT7" s="36" t="s">
        <v>49</v>
      </c>
      <c r="AU7" s="37" t="s">
        <v>50</v>
      </c>
      <c r="AV7" s="26">
        <f aca="true" t="shared" si="13" ref="AV7:AV65">AW7+AX7+AY7</f>
        <v>1131.1194040194039</v>
      </c>
      <c r="AW7" s="15">
        <f aca="true" t="shared" si="14" ref="AW7:AW66">163220.53/4329*H7</f>
        <v>1131.1194040194039</v>
      </c>
      <c r="AX7" s="26"/>
      <c r="AY7" s="39"/>
      <c r="AZ7" s="23">
        <f aca="true" t="shared" si="15" ref="AZ7:AZ66">11/205585.77*T7</f>
        <v>0.10329800549911602</v>
      </c>
      <c r="BA7" s="23">
        <f aca="true" t="shared" si="16" ref="BA7:BA66">1541919.72/11*AZ7</f>
        <v>14479.748337795949</v>
      </c>
      <c r="BB7" s="23">
        <f aca="true" t="shared" si="17" ref="BB7:BB66">465659.76/1541919.72*BA7</f>
        <v>4372.884040836095</v>
      </c>
      <c r="BC7" s="61">
        <f aca="true" t="shared" si="18" ref="BC7:BC66">347271.5/205585.77*T7</f>
        <v>3261.1321196987515</v>
      </c>
      <c r="BD7" s="27">
        <v>2</v>
      </c>
      <c r="BE7" s="36" t="s">
        <v>49</v>
      </c>
      <c r="BF7" s="37" t="s">
        <v>50</v>
      </c>
      <c r="BG7" s="15">
        <f aca="true" t="shared" si="19" ref="BG7:BG66">BH7+BI7+BJ7+BK7+BL7+BP7+BQ7+BR7+BS7+BT7+BU7</f>
        <v>7594.324880449417</v>
      </c>
      <c r="BH7" s="26">
        <f aca="true" t="shared" si="20" ref="BH7:BH66">183169.53/205585.77*T7</f>
        <v>1720.0951924736814</v>
      </c>
      <c r="BI7" s="30"/>
      <c r="BJ7" s="30"/>
      <c r="BK7" s="30"/>
      <c r="BL7" s="30"/>
      <c r="BM7" s="27">
        <v>2</v>
      </c>
      <c r="BN7" s="36" t="s">
        <v>49</v>
      </c>
      <c r="BO7" s="37" t="s">
        <v>50</v>
      </c>
      <c r="BP7" s="15">
        <f aca="true" t="shared" si="21" ref="BP7:BP66">24081.76/4329*H7</f>
        <v>166.8867636867637</v>
      </c>
      <c r="BQ7" s="30">
        <f>19.07*H7*4</f>
        <v>2288.4</v>
      </c>
      <c r="BR7" s="30"/>
      <c r="BS7" s="15">
        <f aca="true" t="shared" si="22" ref="BS7:BS66">175314.3/205585.77*T7</f>
        <v>1646.328865952152</v>
      </c>
      <c r="BT7" s="30"/>
      <c r="BU7" s="15">
        <f aca="true" t="shared" si="23" ref="BU7:BU66">188762.16/205585.77*T7</f>
        <v>1772.6140583368199</v>
      </c>
      <c r="BV7" s="27">
        <v>2</v>
      </c>
      <c r="BW7" s="36" t="s">
        <v>49</v>
      </c>
      <c r="BX7" s="37" t="s">
        <v>50</v>
      </c>
      <c r="BY7" s="18">
        <f aca="true" t="shared" si="24" ref="BY7:BY68">CA7+CB7+CC7</f>
        <v>94135.81521986176</v>
      </c>
      <c r="BZ7" s="18">
        <f aca="true" t="shared" si="25" ref="BZ7:BZ66">39.6/205585.77*T7</f>
        <v>0.37187281979681763</v>
      </c>
      <c r="CA7" s="15">
        <f aca="true" t="shared" si="26" ref="CA7:CA66">7176800.48/39.6*BZ7</f>
        <v>67395.37958628168</v>
      </c>
      <c r="CB7" s="15">
        <f aca="true" t="shared" si="27" ref="CB7:CB66">2167393.74/7176800.48*CA7</f>
        <v>20353.404588479058</v>
      </c>
      <c r="CC7" s="15">
        <f aca="true" t="shared" si="28" ref="CC7:CC66">680142.285/39.6*BZ7</f>
        <v>6387.031045101029</v>
      </c>
      <c r="CD7" s="15">
        <f aca="true" t="shared" si="29" ref="CD7:CD66">727550.74/205585.77*T7</f>
        <v>6832.230940127811</v>
      </c>
      <c r="CE7" s="27">
        <v>2</v>
      </c>
      <c r="CF7" s="36" t="s">
        <v>49</v>
      </c>
      <c r="CG7" s="37" t="s">
        <v>50</v>
      </c>
      <c r="CH7" s="15">
        <f aca="true" t="shared" si="30" ref="CH7:CH66">3431053.93/205585.77*T7</f>
        <v>32220.093429900327</v>
      </c>
      <c r="CI7" s="15">
        <f aca="true" t="shared" si="31" ref="CI7:CI66">660008.74/205585.77*T7</f>
        <v>6197.962404907694</v>
      </c>
      <c r="CJ7" s="15">
        <f aca="true" t="shared" si="32" ref="CJ7:CJ66">1285007.7/205585.77*T7</f>
        <v>12067.15749645513</v>
      </c>
      <c r="CK7" s="62">
        <f aca="true" t="shared" si="33" ref="CK7:CK66">53088/205585.77*T7</f>
        <v>498.53495599427913</v>
      </c>
      <c r="CL7" s="67">
        <f aca="true" t="shared" si="34" ref="CL7:CL66">(4.66*S7*6)+(4.89*T7*6)</f>
        <v>110623.37999999999</v>
      </c>
      <c r="CM7" s="67">
        <f aca="true" t="shared" si="35" ref="CM7:CM66">CL7*100/118</f>
        <v>93748.62711864406</v>
      </c>
      <c r="CN7" s="74"/>
    </row>
    <row r="8" spans="1:92" ht="11.25" customHeight="1">
      <c r="A8" s="27">
        <v>3</v>
      </c>
      <c r="B8" s="28" t="s">
        <v>49</v>
      </c>
      <c r="C8" s="29">
        <v>3</v>
      </c>
      <c r="D8" s="31">
        <v>1958</v>
      </c>
      <c r="E8" s="32">
        <v>2</v>
      </c>
      <c r="F8" s="32">
        <v>2</v>
      </c>
      <c r="G8" s="32"/>
      <c r="H8" s="32">
        <v>12</v>
      </c>
      <c r="I8" s="32"/>
      <c r="J8" s="33">
        <v>67</v>
      </c>
      <c r="K8" s="34"/>
      <c r="L8" s="35"/>
      <c r="M8" s="35"/>
      <c r="N8" s="35"/>
      <c r="O8" s="32"/>
      <c r="P8" s="27">
        <v>3</v>
      </c>
      <c r="Q8" s="36" t="s">
        <v>49</v>
      </c>
      <c r="R8" s="37">
        <v>3</v>
      </c>
      <c r="S8" s="30">
        <v>670.3</v>
      </c>
      <c r="T8" s="30">
        <v>670.3</v>
      </c>
      <c r="U8" s="23">
        <v>13.68</v>
      </c>
      <c r="V8" s="23">
        <v>14.24</v>
      </c>
      <c r="W8" s="23">
        <f aca="true" t="shared" si="36" ref="W8:W66">(S8*U8*6)+(T8*V8*6)</f>
        <v>112288.656</v>
      </c>
      <c r="X8" s="23">
        <f t="shared" si="1"/>
        <v>226286.8501705135</v>
      </c>
      <c r="Y8" s="23">
        <f t="shared" si="2"/>
        <v>-113998.1941705135</v>
      </c>
      <c r="Z8" s="27">
        <v>3</v>
      </c>
      <c r="AA8" s="36" t="s">
        <v>49</v>
      </c>
      <c r="AB8" s="37">
        <v>3</v>
      </c>
      <c r="AC8" s="24">
        <f t="shared" si="3"/>
        <v>191768.5170936555</v>
      </c>
      <c r="AD8" s="15">
        <f t="shared" si="4"/>
        <v>69704.89071988994</v>
      </c>
      <c r="AE8" s="30">
        <f>0.71*1.078*0.997053</f>
        <v>0.76312442514</v>
      </c>
      <c r="AF8" s="15">
        <f t="shared" si="5"/>
        <v>51797.08560082524</v>
      </c>
      <c r="AG8" s="15">
        <f t="shared" si="6"/>
        <v>15642.719857041857</v>
      </c>
      <c r="AH8" s="30">
        <f t="shared" si="0"/>
        <v>67439.8054578671</v>
      </c>
      <c r="AI8" s="15">
        <f t="shared" si="7"/>
        <v>2265.085262022846</v>
      </c>
      <c r="AJ8" s="27">
        <v>3</v>
      </c>
      <c r="AK8" s="36" t="s">
        <v>49</v>
      </c>
      <c r="AL8" s="37">
        <v>3</v>
      </c>
      <c r="AM8" s="15">
        <f t="shared" si="8"/>
        <v>66539.9261157913</v>
      </c>
      <c r="AN8" s="30">
        <f>(0.247+0.018)*1.003*0.9976247</f>
        <v>0.26516365713650003</v>
      </c>
      <c r="AO8" s="15">
        <f t="shared" si="9"/>
        <v>37296.68965345098</v>
      </c>
      <c r="AP8" s="15">
        <f t="shared" si="10"/>
        <v>11263.600278035921</v>
      </c>
      <c r="AQ8" s="25">
        <f t="shared" si="11"/>
        <v>9361.010774938362</v>
      </c>
      <c r="AR8" s="26">
        <f t="shared" si="12"/>
        <v>488.32809672174636</v>
      </c>
      <c r="AS8" s="27">
        <v>3</v>
      </c>
      <c r="AT8" s="36" t="s">
        <v>49</v>
      </c>
      <c r="AU8" s="37">
        <v>3</v>
      </c>
      <c r="AV8" s="26">
        <f t="shared" si="13"/>
        <v>452.44776160776155</v>
      </c>
      <c r="AW8" s="15">
        <f t="shared" si="14"/>
        <v>452.44776160776155</v>
      </c>
      <c r="AX8" s="26"/>
      <c r="AY8" s="30"/>
      <c r="AZ8" s="23">
        <f t="shared" si="15"/>
        <v>0.03586483636489043</v>
      </c>
      <c r="BA8" s="23">
        <f t="shared" si="16"/>
        <v>5027.336222327061</v>
      </c>
      <c r="BB8" s="23">
        <f t="shared" si="17"/>
        <v>1518.2555540103772</v>
      </c>
      <c r="BC8" s="61">
        <f t="shared" si="18"/>
        <v>1132.257774699095</v>
      </c>
      <c r="BD8" s="27">
        <v>3</v>
      </c>
      <c r="BE8" s="36" t="s">
        <v>49</v>
      </c>
      <c r="BF8" s="37">
        <v>3</v>
      </c>
      <c r="BG8" s="15">
        <f t="shared" si="19"/>
        <v>2766.3772402649297</v>
      </c>
      <c r="BH8" s="26">
        <f t="shared" si="20"/>
        <v>597.2132018621717</v>
      </c>
      <c r="BI8" s="30"/>
      <c r="BJ8" s="30"/>
      <c r="BK8" s="30"/>
      <c r="BL8" s="30"/>
      <c r="BM8" s="27">
        <v>3</v>
      </c>
      <c r="BN8" s="36" t="s">
        <v>49</v>
      </c>
      <c r="BO8" s="37">
        <v>3</v>
      </c>
      <c r="BP8" s="15">
        <f t="shared" si="21"/>
        <v>66.75470547470547</v>
      </c>
      <c r="BQ8" s="30">
        <f>19.07*H8*4</f>
        <v>915.36</v>
      </c>
      <c r="BR8" s="30"/>
      <c r="BS8" s="15">
        <f t="shared" si="22"/>
        <v>571.6016983568463</v>
      </c>
      <c r="BT8" s="30"/>
      <c r="BU8" s="15">
        <f t="shared" si="23"/>
        <v>615.447634571206</v>
      </c>
      <c r="BV8" s="27">
        <v>3</v>
      </c>
      <c r="BW8" s="36" t="s">
        <v>49</v>
      </c>
      <c r="BX8" s="37">
        <v>3</v>
      </c>
      <c r="BY8" s="18">
        <f t="shared" si="24"/>
        <v>32683.744401674787</v>
      </c>
      <c r="BZ8" s="18">
        <f t="shared" si="25"/>
        <v>0.12911341091360554</v>
      </c>
      <c r="CA8" s="15">
        <f t="shared" si="26"/>
        <v>23399.524985333373</v>
      </c>
      <c r="CB8" s="15">
        <f t="shared" si="27"/>
        <v>7066.656529398898</v>
      </c>
      <c r="CC8" s="15">
        <f t="shared" si="28"/>
        <v>2217.5628869425154</v>
      </c>
      <c r="CD8" s="15">
        <f t="shared" si="29"/>
        <v>2372.135294295904</v>
      </c>
      <c r="CE8" s="27">
        <v>3</v>
      </c>
      <c r="CF8" s="36" t="s">
        <v>49</v>
      </c>
      <c r="CG8" s="37">
        <v>3</v>
      </c>
      <c r="CH8" s="15">
        <f t="shared" si="30"/>
        <v>11186.744341687656</v>
      </c>
      <c r="CI8" s="15">
        <f t="shared" si="31"/>
        <v>2151.9186781361377</v>
      </c>
      <c r="CJ8" s="15">
        <f t="shared" si="32"/>
        <v>4189.690080738565</v>
      </c>
      <c r="CK8" s="62">
        <f t="shared" si="33"/>
        <v>173.09022117630028</v>
      </c>
      <c r="CL8" s="67">
        <f t="shared" si="34"/>
        <v>38408.189999999995</v>
      </c>
      <c r="CM8" s="67">
        <f t="shared" si="35"/>
        <v>32549.31355932203</v>
      </c>
      <c r="CN8" s="74"/>
    </row>
    <row r="9" spans="1:92" ht="11.25" customHeight="1">
      <c r="A9" s="27">
        <v>4</v>
      </c>
      <c r="B9" s="28" t="s">
        <v>49</v>
      </c>
      <c r="C9" s="29" t="s">
        <v>51</v>
      </c>
      <c r="D9" s="31">
        <v>1958</v>
      </c>
      <c r="E9" s="32">
        <v>4</v>
      </c>
      <c r="F9" s="32">
        <v>3</v>
      </c>
      <c r="G9" s="32"/>
      <c r="H9" s="32">
        <v>30</v>
      </c>
      <c r="I9" s="32"/>
      <c r="J9" s="33">
        <v>187</v>
      </c>
      <c r="K9" s="34">
        <f>243+564+483</f>
        <v>1290</v>
      </c>
      <c r="L9" s="35">
        <v>0</v>
      </c>
      <c r="M9" s="35">
        <v>0</v>
      </c>
      <c r="N9" s="35">
        <v>2674</v>
      </c>
      <c r="O9" s="32"/>
      <c r="P9" s="27">
        <v>4</v>
      </c>
      <c r="Q9" s="36" t="s">
        <v>49</v>
      </c>
      <c r="R9" s="37" t="s">
        <v>51</v>
      </c>
      <c r="S9" s="30">
        <v>1903.6</v>
      </c>
      <c r="T9" s="30">
        <v>1903.6</v>
      </c>
      <c r="U9" s="23">
        <v>20.35</v>
      </c>
      <c r="V9" s="23">
        <v>21.2</v>
      </c>
      <c r="W9" s="23">
        <f t="shared" si="36"/>
        <v>474567.48</v>
      </c>
      <c r="X9" s="23">
        <f t="shared" si="1"/>
        <v>487876.27574135293</v>
      </c>
      <c r="Y9" s="23">
        <f t="shared" si="2"/>
        <v>-13308.795741352951</v>
      </c>
      <c r="Z9" s="27">
        <v>4</v>
      </c>
      <c r="AA9" s="36" t="s">
        <v>49</v>
      </c>
      <c r="AB9" s="37" t="s">
        <v>51</v>
      </c>
      <c r="AC9" s="24">
        <f t="shared" si="3"/>
        <v>413454.47096724826</v>
      </c>
      <c r="AD9" s="15">
        <f t="shared" si="4"/>
        <v>90321.83022858978</v>
      </c>
      <c r="AE9" s="30">
        <f>0.92*1.078*0.997053</f>
        <v>0.9888372832800001</v>
      </c>
      <c r="AF9" s="15">
        <f t="shared" si="5"/>
        <v>67117.3503559989</v>
      </c>
      <c r="AG9" s="15">
        <f t="shared" si="6"/>
        <v>20269.439814758465</v>
      </c>
      <c r="AH9" s="30">
        <f t="shared" si="0"/>
        <v>87386.79017075736</v>
      </c>
      <c r="AI9" s="15">
        <f t="shared" si="7"/>
        <v>2935.0400578324206</v>
      </c>
      <c r="AJ9" s="27">
        <v>4</v>
      </c>
      <c r="AK9" s="36" t="s">
        <v>49</v>
      </c>
      <c r="AL9" s="37" t="s">
        <v>51</v>
      </c>
      <c r="AM9" s="15">
        <f t="shared" si="8"/>
        <v>165783.48218959468</v>
      </c>
      <c r="AN9" s="30">
        <f>(0.61+0.018)*1.003*0.9976247</f>
        <v>0.6283878365347999</v>
      </c>
      <c r="AO9" s="15">
        <f t="shared" si="9"/>
        <v>88386.11736742343</v>
      </c>
      <c r="AP9" s="15">
        <f t="shared" si="10"/>
        <v>26692.6074513455</v>
      </c>
      <c r="AQ9" s="25">
        <f t="shared" si="11"/>
        <v>26584.5443997802</v>
      </c>
      <c r="AR9" s="26">
        <f t="shared" si="12"/>
        <v>1184.5964681851158</v>
      </c>
      <c r="AS9" s="27">
        <v>4</v>
      </c>
      <c r="AT9" s="36" t="s">
        <v>49</v>
      </c>
      <c r="AU9" s="37" t="s">
        <v>51</v>
      </c>
      <c r="AV9" s="26">
        <f t="shared" si="13"/>
        <v>1131.1194040194039</v>
      </c>
      <c r="AW9" s="15">
        <f t="shared" si="14"/>
        <v>1131.1194040194039</v>
      </c>
      <c r="AX9" s="26"/>
      <c r="AY9" s="30"/>
      <c r="AZ9" s="23">
        <f t="shared" si="15"/>
        <v>0.10185335298255323</v>
      </c>
      <c r="BA9" s="23">
        <f t="shared" si="16"/>
        <v>14277.244864719965</v>
      </c>
      <c r="BB9" s="23">
        <f t="shared" si="17"/>
        <v>4311.727991368274</v>
      </c>
      <c r="BC9" s="61">
        <f t="shared" si="18"/>
        <v>3215.5242427527937</v>
      </c>
      <c r="BD9" s="27">
        <v>4</v>
      </c>
      <c r="BE9" s="36" t="s">
        <v>49</v>
      </c>
      <c r="BF9" s="37" t="s">
        <v>51</v>
      </c>
      <c r="BG9" s="15">
        <f t="shared" si="19"/>
        <v>7522.453944391926</v>
      </c>
      <c r="BH9" s="26">
        <f t="shared" si="20"/>
        <v>1696.0391631580337</v>
      </c>
      <c r="BI9" s="30"/>
      <c r="BJ9" s="30"/>
      <c r="BK9" s="30"/>
      <c r="BL9" s="30"/>
      <c r="BM9" s="27">
        <v>4</v>
      </c>
      <c r="BN9" s="36" t="s">
        <v>49</v>
      </c>
      <c r="BO9" s="37" t="s">
        <v>51</v>
      </c>
      <c r="BP9" s="15">
        <f t="shared" si="21"/>
        <v>166.8867636867637</v>
      </c>
      <c r="BQ9" s="30">
        <f>19.07*H9*4</f>
        <v>2288.4</v>
      </c>
      <c r="BR9" s="30"/>
      <c r="BS9" s="15">
        <f t="shared" si="22"/>
        <v>1623.304480071748</v>
      </c>
      <c r="BT9" s="30"/>
      <c r="BU9" s="15">
        <f t="shared" si="23"/>
        <v>1747.8235374753808</v>
      </c>
      <c r="BV9" s="27">
        <v>4</v>
      </c>
      <c r="BW9" s="36" t="s">
        <v>49</v>
      </c>
      <c r="BX9" s="37" t="s">
        <v>51</v>
      </c>
      <c r="BY9" s="18">
        <f t="shared" si="24"/>
        <v>92819.29858724173</v>
      </c>
      <c r="BZ9" s="18">
        <f t="shared" si="25"/>
        <v>0.3666720707371916</v>
      </c>
      <c r="CA9" s="15">
        <f t="shared" si="26"/>
        <v>66452.83568861795</v>
      </c>
      <c r="CB9" s="15">
        <f t="shared" si="27"/>
        <v>20068.756332036017</v>
      </c>
      <c r="CC9" s="15">
        <f t="shared" si="28"/>
        <v>6297.706566587755</v>
      </c>
      <c r="CD9" s="15">
        <f t="shared" si="29"/>
        <v>6736.680212176163</v>
      </c>
      <c r="CE9" s="27">
        <v>4</v>
      </c>
      <c r="CF9" s="36" t="s">
        <v>49</v>
      </c>
      <c r="CG9" s="37" t="s">
        <v>51</v>
      </c>
      <c r="CH9" s="15">
        <f t="shared" si="30"/>
        <v>31769.486094042404</v>
      </c>
      <c r="CI9" s="15">
        <f t="shared" si="31"/>
        <v>6111.282106071835</v>
      </c>
      <c r="CJ9" s="15">
        <f t="shared" si="32"/>
        <v>11898.39480485444</v>
      </c>
      <c r="CK9" s="62">
        <f t="shared" si="33"/>
        <v>491.56280028525316</v>
      </c>
      <c r="CL9" s="67">
        <f t="shared" si="34"/>
        <v>109076.28</v>
      </c>
      <c r="CM9" s="67">
        <f t="shared" si="35"/>
        <v>92437.52542372882</v>
      </c>
      <c r="CN9" s="74"/>
    </row>
    <row r="10" spans="1:92" ht="11.25" customHeight="1">
      <c r="A10" s="12">
        <v>5</v>
      </c>
      <c r="B10" s="13" t="s">
        <v>49</v>
      </c>
      <c r="C10" s="14">
        <v>5</v>
      </c>
      <c r="D10" s="16">
        <v>1958</v>
      </c>
      <c r="E10" s="17">
        <v>2</v>
      </c>
      <c r="F10" s="17">
        <v>2</v>
      </c>
      <c r="G10" s="17"/>
      <c r="H10" s="17">
        <v>12</v>
      </c>
      <c r="I10" s="17"/>
      <c r="J10" s="18">
        <v>71.4</v>
      </c>
      <c r="K10" s="19">
        <f>211+320</f>
        <v>531</v>
      </c>
      <c r="L10" s="20">
        <v>0</v>
      </c>
      <c r="M10" s="20">
        <v>0</v>
      </c>
      <c r="N10" s="20">
        <v>3851</v>
      </c>
      <c r="O10" s="17"/>
      <c r="P10" s="12">
        <v>5</v>
      </c>
      <c r="Q10" s="21" t="s">
        <v>49</v>
      </c>
      <c r="R10" s="22">
        <v>5</v>
      </c>
      <c r="S10" s="15">
        <v>667.5</v>
      </c>
      <c r="T10" s="15">
        <v>667.5</v>
      </c>
      <c r="U10" s="23">
        <v>13.68</v>
      </c>
      <c r="V10" s="23">
        <v>14.24</v>
      </c>
      <c r="W10" s="23">
        <f t="shared" si="36"/>
        <v>111819.6</v>
      </c>
      <c r="X10" s="23">
        <f t="shared" si="1"/>
        <v>229627.3066739389</v>
      </c>
      <c r="Y10" s="23">
        <f t="shared" si="2"/>
        <v>-117807.7066739389</v>
      </c>
      <c r="Z10" s="12">
        <v>5</v>
      </c>
      <c r="AA10" s="21" t="s">
        <v>49</v>
      </c>
      <c r="AB10" s="22">
        <v>5</v>
      </c>
      <c r="AC10" s="24">
        <f t="shared" si="3"/>
        <v>194599.41243554145</v>
      </c>
      <c r="AD10" s="15">
        <f t="shared" si="4"/>
        <v>72650.16779256135</v>
      </c>
      <c r="AE10" s="15">
        <f>0.74*1.078*0.997053</f>
        <v>0.7953691191600001</v>
      </c>
      <c r="AF10" s="15">
        <f t="shared" si="5"/>
        <v>53985.69485156434</v>
      </c>
      <c r="AG10" s="15">
        <f t="shared" si="6"/>
        <v>16303.679851001374</v>
      </c>
      <c r="AH10" s="15">
        <f t="shared" si="0"/>
        <v>70289.3747025657</v>
      </c>
      <c r="AI10" s="15">
        <f t="shared" si="7"/>
        <v>2360.7930899956427</v>
      </c>
      <c r="AJ10" s="12">
        <v>5</v>
      </c>
      <c r="AK10" s="21" t="s">
        <v>49</v>
      </c>
      <c r="AL10" s="22">
        <v>5</v>
      </c>
      <c r="AM10" s="15">
        <f t="shared" si="8"/>
        <v>66653.37735464178</v>
      </c>
      <c r="AN10" s="15">
        <f>(0.248+0.018)*1.003*0.9976247</f>
        <v>0.2661642747106</v>
      </c>
      <c r="AO10" s="15">
        <f t="shared" si="9"/>
        <v>37437.43187855834</v>
      </c>
      <c r="AP10" s="15">
        <f t="shared" si="10"/>
        <v>11306.10443002851</v>
      </c>
      <c r="AQ10" s="25">
        <f t="shared" si="11"/>
        <v>9321.907641759446</v>
      </c>
      <c r="AR10" s="26">
        <f t="shared" si="12"/>
        <v>489.70826641308685</v>
      </c>
      <c r="AS10" s="12">
        <v>5</v>
      </c>
      <c r="AT10" s="21" t="s">
        <v>49</v>
      </c>
      <c r="AU10" s="22">
        <v>5</v>
      </c>
      <c r="AV10" s="26">
        <f t="shared" si="13"/>
        <v>452.44776160776155</v>
      </c>
      <c r="AW10" s="15">
        <f t="shared" si="14"/>
        <v>452.44776160776155</v>
      </c>
      <c r="AX10" s="26"/>
      <c r="AY10" s="26"/>
      <c r="AZ10" s="23">
        <f t="shared" si="15"/>
        <v>0.035715020548358</v>
      </c>
      <c r="BA10" s="23">
        <f t="shared" si="16"/>
        <v>5006.335862156218</v>
      </c>
      <c r="BB10" s="23">
        <f t="shared" si="17"/>
        <v>1511.9134451766774</v>
      </c>
      <c r="BC10" s="61">
        <f t="shared" si="18"/>
        <v>1127.5280689417366</v>
      </c>
      <c r="BD10" s="12">
        <v>5</v>
      </c>
      <c r="BE10" s="21" t="s">
        <v>49</v>
      </c>
      <c r="BF10" s="22">
        <v>5</v>
      </c>
      <c r="BG10" s="15">
        <f t="shared" si="19"/>
        <v>2758.9239580071157</v>
      </c>
      <c r="BH10" s="26">
        <f t="shared" si="20"/>
        <v>594.7185025257342</v>
      </c>
      <c r="BI10" s="15"/>
      <c r="BJ10" s="15"/>
      <c r="BK10" s="15"/>
      <c r="BL10" s="15"/>
      <c r="BM10" s="12">
        <v>5</v>
      </c>
      <c r="BN10" s="21" t="s">
        <v>49</v>
      </c>
      <c r="BO10" s="22">
        <v>5</v>
      </c>
      <c r="BP10" s="15">
        <f t="shared" si="21"/>
        <v>66.75470547470547</v>
      </c>
      <c r="BQ10" s="30">
        <f>19.07*H10*4</f>
        <v>915.36</v>
      </c>
      <c r="BR10" s="15"/>
      <c r="BS10" s="15">
        <f t="shared" si="22"/>
        <v>569.2139842655452</v>
      </c>
      <c r="BT10" s="15"/>
      <c r="BU10" s="15">
        <f t="shared" si="23"/>
        <v>612.8767657411308</v>
      </c>
      <c r="BV10" s="12">
        <v>5</v>
      </c>
      <c r="BW10" s="21" t="s">
        <v>49</v>
      </c>
      <c r="BX10" s="22">
        <v>5</v>
      </c>
      <c r="BY10" s="18">
        <f t="shared" si="24"/>
        <v>32547.21675088456</v>
      </c>
      <c r="BZ10" s="18">
        <f t="shared" si="25"/>
        <v>0.12857407397408877</v>
      </c>
      <c r="CA10" s="15">
        <f t="shared" si="26"/>
        <v>23301.77969224232</v>
      </c>
      <c r="CB10" s="15">
        <f t="shared" si="27"/>
        <v>7037.137450952952</v>
      </c>
      <c r="CC10" s="15">
        <f t="shared" si="28"/>
        <v>2208.299607689287</v>
      </c>
      <c r="CD10" s="15">
        <f t="shared" si="29"/>
        <v>2362.226329915733</v>
      </c>
      <c r="CE10" s="12">
        <v>5</v>
      </c>
      <c r="CF10" s="21" t="s">
        <v>49</v>
      </c>
      <c r="CG10" s="22">
        <v>5</v>
      </c>
      <c r="CH10" s="15">
        <f t="shared" si="30"/>
        <v>11140.01469204313</v>
      </c>
      <c r="CI10" s="15">
        <f t="shared" si="31"/>
        <v>2142.929610108715</v>
      </c>
      <c r="CJ10" s="15">
        <f t="shared" si="32"/>
        <v>4172.188764572567</v>
      </c>
      <c r="CK10" s="62">
        <f t="shared" si="33"/>
        <v>172.36718280647537</v>
      </c>
      <c r="CL10" s="67">
        <f t="shared" si="34"/>
        <v>38247.75</v>
      </c>
      <c r="CM10" s="67">
        <f t="shared" si="35"/>
        <v>32413.34745762712</v>
      </c>
      <c r="CN10" s="74"/>
    </row>
    <row r="11" spans="1:92" ht="11.25" customHeight="1">
      <c r="A11" s="27">
        <v>6</v>
      </c>
      <c r="B11" s="28" t="s">
        <v>49</v>
      </c>
      <c r="C11" s="29" t="s">
        <v>52</v>
      </c>
      <c r="D11" s="31">
        <v>1962</v>
      </c>
      <c r="E11" s="32">
        <v>4</v>
      </c>
      <c r="F11" s="32">
        <v>4</v>
      </c>
      <c r="G11" s="32"/>
      <c r="H11" s="32">
        <v>60</v>
      </c>
      <c r="I11" s="32"/>
      <c r="J11" s="33">
        <v>205.1</v>
      </c>
      <c r="K11" s="34">
        <v>918</v>
      </c>
      <c r="L11" s="35">
        <v>0</v>
      </c>
      <c r="M11" s="35">
        <v>0</v>
      </c>
      <c r="N11" s="35">
        <v>206</v>
      </c>
      <c r="O11" s="32"/>
      <c r="P11" s="27">
        <v>6</v>
      </c>
      <c r="Q11" s="36" t="s">
        <v>49</v>
      </c>
      <c r="R11" s="37" t="s">
        <v>52</v>
      </c>
      <c r="S11" s="30">
        <v>2379.6</v>
      </c>
      <c r="T11" s="30">
        <v>2379.6</v>
      </c>
      <c r="U11" s="23">
        <v>20.35</v>
      </c>
      <c r="V11" s="23">
        <v>21.98</v>
      </c>
      <c r="W11" s="23">
        <f t="shared" si="36"/>
        <v>604370.808</v>
      </c>
      <c r="X11" s="23">
        <f t="shared" si="1"/>
        <v>556258.5162563424</v>
      </c>
      <c r="Y11" s="23">
        <f t="shared" si="2"/>
        <v>48112.29174365755</v>
      </c>
      <c r="Z11" s="27">
        <v>6</v>
      </c>
      <c r="AA11" s="36" t="s">
        <v>49</v>
      </c>
      <c r="AB11" s="37" t="s">
        <v>52</v>
      </c>
      <c r="AC11" s="24">
        <f t="shared" si="3"/>
        <v>471405.52225113765</v>
      </c>
      <c r="AD11" s="15">
        <f t="shared" si="4"/>
        <v>52033.22828386151</v>
      </c>
      <c r="AE11" s="30">
        <f>0.53*1.078*0.997053</f>
        <v>0.56965626102</v>
      </c>
      <c r="AF11" s="15">
        <f t="shared" si="5"/>
        <v>38665.43009639067</v>
      </c>
      <c r="AG11" s="15">
        <f t="shared" si="6"/>
        <v>11676.959893284768</v>
      </c>
      <c r="AH11" s="30">
        <f t="shared" si="0"/>
        <v>50342.38998967544</v>
      </c>
      <c r="AI11" s="15">
        <f t="shared" si="7"/>
        <v>1690.8382941860684</v>
      </c>
      <c r="AJ11" s="27">
        <v>6</v>
      </c>
      <c r="AK11" s="36" t="s">
        <v>49</v>
      </c>
      <c r="AL11" s="37" t="s">
        <v>52</v>
      </c>
      <c r="AM11" s="15">
        <f t="shared" si="8"/>
        <v>220836.24381640865</v>
      </c>
      <c r="AN11" s="30">
        <f>(0.836+0.018)*1.003*0.9976247</f>
        <v>0.8545274082814</v>
      </c>
      <c r="AO11" s="15">
        <f t="shared" si="9"/>
        <v>120193.86024168727</v>
      </c>
      <c r="AP11" s="15">
        <f t="shared" si="10"/>
        <v>36298.54580167047</v>
      </c>
      <c r="AQ11" s="25">
        <f t="shared" si="11"/>
        <v>33232.07704019592</v>
      </c>
      <c r="AR11" s="26">
        <f t="shared" si="12"/>
        <v>1592.7551164519366</v>
      </c>
      <c r="AS11" s="27">
        <v>6</v>
      </c>
      <c r="AT11" s="36" t="s">
        <v>49</v>
      </c>
      <c r="AU11" s="37" t="s">
        <v>52</v>
      </c>
      <c r="AV11" s="26">
        <f t="shared" si="13"/>
        <v>2262.2388080388077</v>
      </c>
      <c r="AW11" s="15">
        <f t="shared" si="14"/>
        <v>2262.2388080388077</v>
      </c>
      <c r="AX11" s="26"/>
      <c r="AY11" s="38"/>
      <c r="AZ11" s="23">
        <f t="shared" si="15"/>
        <v>0.1273220417930677</v>
      </c>
      <c r="BA11" s="23">
        <f t="shared" si="16"/>
        <v>17847.3060937632</v>
      </c>
      <c r="BB11" s="23">
        <f t="shared" si="17"/>
        <v>5389.88649309726</v>
      </c>
      <c r="BC11" s="61">
        <f t="shared" si="18"/>
        <v>4019.574221503755</v>
      </c>
      <c r="BD11" s="27">
        <v>6</v>
      </c>
      <c r="BE11" s="36" t="s">
        <v>49</v>
      </c>
      <c r="BF11" s="37" t="s">
        <v>52</v>
      </c>
      <c r="BG11" s="15">
        <f t="shared" si="19"/>
        <v>11244.798691907044</v>
      </c>
      <c r="BH11" s="26">
        <f t="shared" si="20"/>
        <v>2120.138050352415</v>
      </c>
      <c r="BI11" s="30"/>
      <c r="BJ11" s="30"/>
      <c r="BK11" s="30"/>
      <c r="BL11" s="30"/>
      <c r="BM11" s="27">
        <v>6</v>
      </c>
      <c r="BN11" s="36" t="s">
        <v>49</v>
      </c>
      <c r="BO11" s="37" t="s">
        <v>52</v>
      </c>
      <c r="BP11" s="15">
        <f t="shared" si="21"/>
        <v>333.7735273735274</v>
      </c>
      <c r="BQ11" s="30">
        <f>19.07*H11*4</f>
        <v>4576.8</v>
      </c>
      <c r="BR11" s="30"/>
      <c r="BS11" s="15">
        <f t="shared" si="22"/>
        <v>2029.2158755929458</v>
      </c>
      <c r="BT11" s="30"/>
      <c r="BU11" s="15">
        <f t="shared" si="23"/>
        <v>2184.871238588157</v>
      </c>
      <c r="BV11" s="27">
        <v>6</v>
      </c>
      <c r="BW11" s="36" t="s">
        <v>49</v>
      </c>
      <c r="BX11" s="37" t="s">
        <v>52</v>
      </c>
      <c r="BY11" s="18">
        <f t="shared" si="24"/>
        <v>116028.9992215804</v>
      </c>
      <c r="BZ11" s="18">
        <f t="shared" si="25"/>
        <v>0.45835935045504367</v>
      </c>
      <c r="CA11" s="15">
        <f t="shared" si="26"/>
        <v>83069.53551409712</v>
      </c>
      <c r="CB11" s="15">
        <f t="shared" si="27"/>
        <v>25086.999667846663</v>
      </c>
      <c r="CC11" s="15">
        <f t="shared" si="28"/>
        <v>7872.464039636596</v>
      </c>
      <c r="CD11" s="15">
        <f t="shared" si="29"/>
        <v>8421.20415680521</v>
      </c>
      <c r="CE11" s="27">
        <v>6</v>
      </c>
      <c r="CF11" s="36" t="s">
        <v>49</v>
      </c>
      <c r="CG11" s="37" t="s">
        <v>52</v>
      </c>
      <c r="CH11" s="15">
        <f t="shared" si="30"/>
        <v>39713.52653361174</v>
      </c>
      <c r="CI11" s="15">
        <f t="shared" si="31"/>
        <v>7639.423670733631</v>
      </c>
      <c r="CJ11" s="15">
        <f t="shared" si="32"/>
        <v>14873.618553073979</v>
      </c>
      <c r="CK11" s="62">
        <f t="shared" si="33"/>
        <v>614.4793231554888</v>
      </c>
      <c r="CL11" s="67">
        <f t="shared" si="34"/>
        <v>136351.08</v>
      </c>
      <c r="CM11" s="67">
        <f t="shared" si="35"/>
        <v>115551.76271186439</v>
      </c>
      <c r="CN11" s="74"/>
    </row>
    <row r="12" spans="1:92" ht="11.25" customHeight="1">
      <c r="A12" s="27">
        <v>7</v>
      </c>
      <c r="B12" s="28" t="s">
        <v>49</v>
      </c>
      <c r="C12" s="29" t="s">
        <v>53</v>
      </c>
      <c r="D12" s="40" t="s">
        <v>54</v>
      </c>
      <c r="E12" s="32">
        <v>8</v>
      </c>
      <c r="F12" s="32">
        <v>9</v>
      </c>
      <c r="G12" s="32">
        <v>8</v>
      </c>
      <c r="H12" s="32">
        <v>393</v>
      </c>
      <c r="I12" s="32"/>
      <c r="J12" s="41">
        <v>2730.2</v>
      </c>
      <c r="K12" s="34">
        <f>1671+586</f>
        <v>2257</v>
      </c>
      <c r="L12" s="35">
        <v>0</v>
      </c>
      <c r="M12" s="35">
        <v>455</v>
      </c>
      <c r="N12" s="35">
        <v>4131</v>
      </c>
      <c r="O12" s="32"/>
      <c r="P12" s="27">
        <v>7</v>
      </c>
      <c r="Q12" s="36" t="s">
        <v>49</v>
      </c>
      <c r="R12" s="37" t="s">
        <v>53</v>
      </c>
      <c r="S12" s="38">
        <v>20502.9</v>
      </c>
      <c r="T12" s="38">
        <v>20502.9</v>
      </c>
      <c r="U12" s="23">
        <v>26.31</v>
      </c>
      <c r="V12" s="23">
        <v>27.79</v>
      </c>
      <c r="W12" s="23">
        <f>(S12*U12*6)+(20483.7*V12*6)+19.2*27.01*6</f>
        <v>6655151.484</v>
      </c>
      <c r="X12" s="23">
        <f t="shared" si="1"/>
        <v>5604312.365445114</v>
      </c>
      <c r="Y12" s="70">
        <f t="shared" si="2"/>
        <v>1050839.1185548864</v>
      </c>
      <c r="Z12" s="27">
        <v>7</v>
      </c>
      <c r="AA12" s="36" t="s">
        <v>49</v>
      </c>
      <c r="AB12" s="37" t="s">
        <v>53</v>
      </c>
      <c r="AC12" s="24">
        <f t="shared" si="3"/>
        <v>4749417.258851792</v>
      </c>
      <c r="AD12" s="15">
        <f t="shared" si="4"/>
        <v>412338.7901739969</v>
      </c>
      <c r="AE12" s="30">
        <f>4.2*1.078*0.997053</f>
        <v>4.514257162800001</v>
      </c>
      <c r="AF12" s="15">
        <f t="shared" si="5"/>
        <v>306405.2951034733</v>
      </c>
      <c r="AG12" s="15">
        <f t="shared" si="6"/>
        <v>92534.39915433213</v>
      </c>
      <c r="AH12" s="30">
        <f t="shared" si="0"/>
        <v>398939.6942578054</v>
      </c>
      <c r="AI12" s="15">
        <f t="shared" si="7"/>
        <v>13399.095916191487</v>
      </c>
      <c r="AJ12" s="27">
        <v>7</v>
      </c>
      <c r="AK12" s="36" t="s">
        <v>49</v>
      </c>
      <c r="AL12" s="37" t="s">
        <v>53</v>
      </c>
      <c r="AM12" s="15">
        <f t="shared" si="8"/>
        <v>1679767.248265251</v>
      </c>
      <c r="AN12" s="30">
        <f>(6.145+0.02)*1.003*0.9976247</f>
        <v>6.168807344326499</v>
      </c>
      <c r="AO12" s="15">
        <f t="shared" si="9"/>
        <v>867675.8177868876</v>
      </c>
      <c r="AP12" s="15">
        <f t="shared" si="10"/>
        <v>262038.0970343073</v>
      </c>
      <c r="AQ12" s="25">
        <f t="shared" si="11"/>
        <v>286331.296162142</v>
      </c>
      <c r="AR12" s="26">
        <f t="shared" si="12"/>
        <v>11786.61883005223</v>
      </c>
      <c r="AS12" s="27">
        <v>7</v>
      </c>
      <c r="AT12" s="36" t="s">
        <v>49</v>
      </c>
      <c r="AU12" s="37" t="s">
        <v>53</v>
      </c>
      <c r="AV12" s="26">
        <f t="shared" si="13"/>
        <v>17088.064192654194</v>
      </c>
      <c r="AW12" s="15">
        <f t="shared" si="14"/>
        <v>14817.664192654192</v>
      </c>
      <c r="AX12" s="26">
        <f>283.8*G12</f>
        <v>2270.4</v>
      </c>
      <c r="AY12" s="30"/>
      <c r="AZ12" s="23">
        <f t="shared" si="15"/>
        <v>1.0970209659939014</v>
      </c>
      <c r="BA12" s="23">
        <f t="shared" si="16"/>
        <v>153774.38733813143</v>
      </c>
      <c r="BB12" s="23">
        <f t="shared" si="17"/>
        <v>46439.865430880745</v>
      </c>
      <c r="BC12" s="61">
        <f t="shared" si="18"/>
        <v>34633.10149019556</v>
      </c>
      <c r="BD12" s="27">
        <v>7</v>
      </c>
      <c r="BE12" s="36" t="s">
        <v>49</v>
      </c>
      <c r="BF12" s="37" t="s">
        <v>53</v>
      </c>
      <c r="BG12" s="15">
        <f t="shared" si="19"/>
        <v>1043588.8302890271</v>
      </c>
      <c r="BH12" s="26">
        <f t="shared" si="20"/>
        <v>18267.34679465899</v>
      </c>
      <c r="BI12" s="30">
        <f>28000/37*8</f>
        <v>6054.054054054054</v>
      </c>
      <c r="BJ12" s="30">
        <f>154631.87/37*8</f>
        <v>33433.917837837835</v>
      </c>
      <c r="BK12" s="30">
        <f>40879.49/37*8</f>
        <v>8838.808648648648</v>
      </c>
      <c r="BL12" s="30">
        <f>4120320/37*8</f>
        <v>890880</v>
      </c>
      <c r="BM12" s="27">
        <v>7</v>
      </c>
      <c r="BN12" s="36" t="s">
        <v>49</v>
      </c>
      <c r="BO12" s="37" t="s">
        <v>53</v>
      </c>
      <c r="BP12" s="15">
        <f t="shared" si="21"/>
        <v>2186.216604296604</v>
      </c>
      <c r="BQ12" s="30"/>
      <c r="BR12" s="30">
        <v>47619.44</v>
      </c>
      <c r="BS12" s="15">
        <f t="shared" si="22"/>
        <v>17483.95115804951</v>
      </c>
      <c r="BT12" s="30"/>
      <c r="BU12" s="15">
        <f t="shared" si="23"/>
        <v>18825.0951914814</v>
      </c>
      <c r="BV12" s="27">
        <v>7</v>
      </c>
      <c r="BW12" s="36" t="s">
        <v>49</v>
      </c>
      <c r="BX12" s="37" t="s">
        <v>53</v>
      </c>
      <c r="BY12" s="18">
        <f t="shared" si="24"/>
        <v>999718.8469239118</v>
      </c>
      <c r="BZ12" s="18">
        <f t="shared" si="25"/>
        <v>3.9492754775780448</v>
      </c>
      <c r="CA12" s="15">
        <f t="shared" si="26"/>
        <v>715736.4177559178</v>
      </c>
      <c r="CB12" s="15">
        <f t="shared" si="27"/>
        <v>216152.39766763043</v>
      </c>
      <c r="CC12" s="15">
        <f t="shared" si="28"/>
        <v>67830.03150036358</v>
      </c>
      <c r="CD12" s="15">
        <f t="shared" si="29"/>
        <v>72558.03778221615</v>
      </c>
      <c r="CE12" s="27">
        <v>7</v>
      </c>
      <c r="CF12" s="36" t="s">
        <v>49</v>
      </c>
      <c r="CG12" s="37" t="s">
        <v>53</v>
      </c>
      <c r="CH12" s="15">
        <f t="shared" si="30"/>
        <v>342176.19060597924</v>
      </c>
      <c r="CI12" s="15">
        <f t="shared" si="31"/>
        <v>65822.12959265616</v>
      </c>
      <c r="CJ12" s="15">
        <f t="shared" si="32"/>
        <v>128152.76257850921</v>
      </c>
      <c r="CK12" s="62">
        <f t="shared" si="33"/>
        <v>5294.422640244021</v>
      </c>
      <c r="CL12" s="67">
        <f t="shared" si="34"/>
        <v>1174816.17</v>
      </c>
      <c r="CM12" s="67">
        <f t="shared" si="35"/>
        <v>995606.9237288135</v>
      </c>
      <c r="CN12" s="74"/>
    </row>
    <row r="13" spans="1:92" ht="11.25" customHeight="1">
      <c r="A13" s="27">
        <v>8</v>
      </c>
      <c r="B13" s="28" t="s">
        <v>49</v>
      </c>
      <c r="C13" s="29">
        <v>11</v>
      </c>
      <c r="D13" s="31">
        <v>1968</v>
      </c>
      <c r="E13" s="32">
        <v>4</v>
      </c>
      <c r="F13" s="32">
        <v>5</v>
      </c>
      <c r="G13" s="32"/>
      <c r="H13" s="32">
        <v>67</v>
      </c>
      <c r="I13" s="32"/>
      <c r="J13" s="33">
        <v>325.9</v>
      </c>
      <c r="K13" s="34">
        <v>1387.8</v>
      </c>
      <c r="L13" s="35">
        <v>0</v>
      </c>
      <c r="M13" s="35">
        <v>1200</v>
      </c>
      <c r="N13" s="35">
        <v>1007.2</v>
      </c>
      <c r="O13" s="32"/>
      <c r="P13" s="27">
        <v>8</v>
      </c>
      <c r="Q13" s="36" t="s">
        <v>49</v>
      </c>
      <c r="R13" s="37">
        <v>11</v>
      </c>
      <c r="S13" s="30">
        <v>3118.1</v>
      </c>
      <c r="T13" s="30">
        <v>3118.1</v>
      </c>
      <c r="U13" s="23">
        <v>20.35</v>
      </c>
      <c r="V13" s="23">
        <v>21.98</v>
      </c>
      <c r="W13" s="23">
        <f>((S13*U13*6)+(3007.6*V13*6)+110.5*21.2*6)+78.91</f>
        <v>791496.808</v>
      </c>
      <c r="X13" s="23">
        <f t="shared" si="1"/>
        <v>799620.8406724329</v>
      </c>
      <c r="Y13" s="23">
        <f t="shared" si="2"/>
        <v>-8124.03267243295</v>
      </c>
      <c r="Z13" s="27">
        <v>8</v>
      </c>
      <c r="AA13" s="36" t="s">
        <v>49</v>
      </c>
      <c r="AB13" s="37">
        <v>11</v>
      </c>
      <c r="AC13" s="24">
        <f t="shared" si="3"/>
        <v>677644.7802308754</v>
      </c>
      <c r="AD13" s="15">
        <f t="shared" si="4"/>
        <v>140391.5404640037</v>
      </c>
      <c r="AE13" s="30">
        <f>1.43*1.078*0.997053</f>
        <v>1.53699708162</v>
      </c>
      <c r="AF13" s="15">
        <f t="shared" si="5"/>
        <v>104323.70761856351</v>
      </c>
      <c r="AG13" s="15">
        <f t="shared" si="6"/>
        <v>31505.75971207022</v>
      </c>
      <c r="AH13" s="30">
        <f t="shared" si="0"/>
        <v>135829.46733063372</v>
      </c>
      <c r="AI13" s="15">
        <f t="shared" si="7"/>
        <v>4562.073133369958</v>
      </c>
      <c r="AJ13" s="27">
        <v>8</v>
      </c>
      <c r="AK13" s="36" t="s">
        <v>49</v>
      </c>
      <c r="AL13" s="37">
        <v>11</v>
      </c>
      <c r="AM13" s="15">
        <f t="shared" si="8"/>
        <v>274692.23922287417</v>
      </c>
      <c r="AN13" s="30">
        <f>(1.024+0.018)*1.003*0.9976247</f>
        <v>1.0426435122122</v>
      </c>
      <c r="AO13" s="15">
        <f t="shared" si="9"/>
        <v>146653.39856187138</v>
      </c>
      <c r="AP13" s="15">
        <f t="shared" si="10"/>
        <v>44289.32637627709</v>
      </c>
      <c r="AQ13" s="25">
        <f t="shared" si="11"/>
        <v>43545.52841613503</v>
      </c>
      <c r="AR13" s="26">
        <f t="shared" si="12"/>
        <v>1962.0162977984064</v>
      </c>
      <c r="AS13" s="27">
        <v>8</v>
      </c>
      <c r="AT13" s="36" t="s">
        <v>49</v>
      </c>
      <c r="AU13" s="37">
        <v>11</v>
      </c>
      <c r="AV13" s="26">
        <f t="shared" si="13"/>
        <v>2526.166668976669</v>
      </c>
      <c r="AW13" s="15">
        <f t="shared" si="14"/>
        <v>2526.166668976669</v>
      </c>
      <c r="AX13" s="26"/>
      <c r="AY13" s="30"/>
      <c r="AZ13" s="23">
        <f t="shared" si="15"/>
        <v>0.1668359634034982</v>
      </c>
      <c r="BA13" s="23">
        <f t="shared" si="16"/>
        <v>23386.151088822928</v>
      </c>
      <c r="BB13" s="23">
        <f t="shared" si="17"/>
        <v>7062.6176979856145</v>
      </c>
      <c r="BC13" s="61">
        <f t="shared" si="18"/>
        <v>5267.034115007084</v>
      </c>
      <c r="BD13" s="27">
        <v>8</v>
      </c>
      <c r="BE13" s="36" t="s">
        <v>49</v>
      </c>
      <c r="BF13" s="37">
        <v>11</v>
      </c>
      <c r="BG13" s="15">
        <f t="shared" si="19"/>
        <v>17144.606539045355</v>
      </c>
      <c r="BH13" s="26">
        <f t="shared" si="20"/>
        <v>2778.115000337815</v>
      </c>
      <c r="BI13" s="30"/>
      <c r="BJ13" s="30"/>
      <c r="BK13" s="30"/>
      <c r="BL13" s="30"/>
      <c r="BM13" s="27">
        <v>8</v>
      </c>
      <c r="BN13" s="36" t="s">
        <v>49</v>
      </c>
      <c r="BO13" s="37">
        <v>11</v>
      </c>
      <c r="BP13" s="15">
        <f t="shared" si="21"/>
        <v>372.71377223377226</v>
      </c>
      <c r="BQ13" s="30"/>
      <c r="BR13" s="30"/>
      <c r="BS13" s="15">
        <f t="shared" si="22"/>
        <v>2658.9754671736277</v>
      </c>
      <c r="BT13" s="30">
        <f>12496*100/118*0.8</f>
        <v>8471.864406779661</v>
      </c>
      <c r="BU13" s="15">
        <f t="shared" si="23"/>
        <v>2862.9378925204796</v>
      </c>
      <c r="BV13" s="27">
        <v>8</v>
      </c>
      <c r="BW13" s="36" t="s">
        <v>49</v>
      </c>
      <c r="BX13" s="37">
        <v>11</v>
      </c>
      <c r="BY13" s="18">
        <f t="shared" si="24"/>
        <v>152038.1671175028</v>
      </c>
      <c r="BZ13" s="18">
        <f t="shared" si="25"/>
        <v>0.6006094682525935</v>
      </c>
      <c r="CA13" s="15">
        <f t="shared" si="26"/>
        <v>108849.85656686258</v>
      </c>
      <c r="CB13" s="15">
        <f t="shared" si="27"/>
        <v>32872.65660796464</v>
      </c>
      <c r="CC13" s="15">
        <f t="shared" si="28"/>
        <v>10315.653942675604</v>
      </c>
      <c r="CD13" s="15">
        <f t="shared" si="29"/>
        <v>11034.693512075277</v>
      </c>
      <c r="CE13" s="27">
        <v>8</v>
      </c>
      <c r="CF13" s="36" t="s">
        <v>49</v>
      </c>
      <c r="CG13" s="37">
        <v>11</v>
      </c>
      <c r="CH13" s="15">
        <f t="shared" si="30"/>
        <v>52038.471627355335</v>
      </c>
      <c r="CI13" s="15">
        <f t="shared" si="31"/>
        <v>10010.29036296627</v>
      </c>
      <c r="CJ13" s="15">
        <f t="shared" si="32"/>
        <v>19489.590691855763</v>
      </c>
      <c r="CK13" s="62">
        <f t="shared" si="33"/>
        <v>805.1806931968102</v>
      </c>
      <c r="CL13" s="67">
        <f t="shared" si="34"/>
        <v>178667.13</v>
      </c>
      <c r="CM13" s="67">
        <f t="shared" si="35"/>
        <v>151412.8220338983</v>
      </c>
      <c r="CN13" s="74"/>
    </row>
    <row r="14" spans="1:92" ht="11.25" customHeight="1">
      <c r="A14" s="27">
        <v>9</v>
      </c>
      <c r="B14" s="28" t="s">
        <v>49</v>
      </c>
      <c r="C14" s="29" t="s">
        <v>55</v>
      </c>
      <c r="D14" s="31">
        <v>1968</v>
      </c>
      <c r="E14" s="32">
        <v>4</v>
      </c>
      <c r="F14" s="32">
        <v>5</v>
      </c>
      <c r="G14" s="32"/>
      <c r="H14" s="32">
        <v>69</v>
      </c>
      <c r="I14" s="32"/>
      <c r="J14" s="33">
        <v>324</v>
      </c>
      <c r="K14" s="34">
        <f>372+524</f>
        <v>896</v>
      </c>
      <c r="L14" s="35">
        <v>0</v>
      </c>
      <c r="M14" s="35">
        <v>0</v>
      </c>
      <c r="N14" s="35">
        <v>2669</v>
      </c>
      <c r="O14" s="32"/>
      <c r="P14" s="27">
        <v>9</v>
      </c>
      <c r="Q14" s="36" t="s">
        <v>49</v>
      </c>
      <c r="R14" s="37" t="s">
        <v>55</v>
      </c>
      <c r="S14" s="30">
        <v>3101.9</v>
      </c>
      <c r="T14" s="30">
        <v>3101.9</v>
      </c>
      <c r="U14" s="23">
        <v>20.35</v>
      </c>
      <c r="V14" s="23">
        <v>21.98</v>
      </c>
      <c r="W14" s="23">
        <f t="shared" si="36"/>
        <v>787820.5620000002</v>
      </c>
      <c r="X14" s="23">
        <f t="shared" si="1"/>
        <v>749324.7437413513</v>
      </c>
      <c r="Y14" s="23">
        <f t="shared" si="2"/>
        <v>38495.818258648855</v>
      </c>
      <c r="Z14" s="27">
        <v>9</v>
      </c>
      <c r="AA14" s="36" t="s">
        <v>49</v>
      </c>
      <c r="AB14" s="37" t="s">
        <v>55</v>
      </c>
      <c r="AC14" s="24">
        <f t="shared" si="3"/>
        <v>635020.9692723317</v>
      </c>
      <c r="AD14" s="15">
        <f t="shared" si="4"/>
        <v>97194.1433981564</v>
      </c>
      <c r="AE14" s="30">
        <f>0.99*1.078*0.997053</f>
        <v>1.06407490266</v>
      </c>
      <c r="AF14" s="15">
        <f t="shared" si="5"/>
        <v>72224.10527439012</v>
      </c>
      <c r="AG14" s="15">
        <f t="shared" si="6"/>
        <v>21811.679800664</v>
      </c>
      <c r="AH14" s="30">
        <f t="shared" si="0"/>
        <v>94035.78507505413</v>
      </c>
      <c r="AI14" s="15">
        <f t="shared" si="7"/>
        <v>3158.3583231022785</v>
      </c>
      <c r="AJ14" s="27">
        <v>9</v>
      </c>
      <c r="AK14" s="36" t="s">
        <v>49</v>
      </c>
      <c r="AL14" s="37" t="s">
        <v>55</v>
      </c>
      <c r="AM14" s="15">
        <f t="shared" si="8"/>
        <v>276572.87601311144</v>
      </c>
      <c r="AN14" s="30">
        <f>(1.036+0.018)*1.003*0.9976247</f>
        <v>1.0546509231014</v>
      </c>
      <c r="AO14" s="15">
        <f t="shared" si="9"/>
        <v>148342.30526315974</v>
      </c>
      <c r="AP14" s="15">
        <f t="shared" si="10"/>
        <v>44799.376200188155</v>
      </c>
      <c r="AQ14" s="25">
        <f t="shared" si="11"/>
        <v>43319.288859885586</v>
      </c>
      <c r="AR14" s="26">
        <f t="shared" si="12"/>
        <v>1980.0885985115333</v>
      </c>
      <c r="AS14" s="27">
        <v>9</v>
      </c>
      <c r="AT14" s="36" t="s">
        <v>49</v>
      </c>
      <c r="AU14" s="37" t="s">
        <v>55</v>
      </c>
      <c r="AV14" s="26">
        <f t="shared" si="13"/>
        <v>2601.5746292446293</v>
      </c>
      <c r="AW14" s="15">
        <f t="shared" si="14"/>
        <v>2601.5746292446293</v>
      </c>
      <c r="AX14" s="26"/>
      <c r="AY14" s="30"/>
      <c r="AZ14" s="23">
        <f t="shared" si="15"/>
        <v>0.16596917189356056</v>
      </c>
      <c r="BA14" s="23">
        <f t="shared" si="16"/>
        <v>23264.649004977342</v>
      </c>
      <c r="BB14" s="23">
        <f t="shared" si="17"/>
        <v>7025.924068304923</v>
      </c>
      <c r="BC14" s="61">
        <f t="shared" si="18"/>
        <v>5239.66938883951</v>
      </c>
      <c r="BD14" s="27">
        <v>9</v>
      </c>
      <c r="BE14" s="36" t="s">
        <v>49</v>
      </c>
      <c r="BF14" s="37" t="s">
        <v>55</v>
      </c>
      <c r="BG14" s="15">
        <f t="shared" si="19"/>
        <v>17112.609761656648</v>
      </c>
      <c r="BH14" s="26">
        <f t="shared" si="20"/>
        <v>2763.6813827484266</v>
      </c>
      <c r="BI14" s="30"/>
      <c r="BJ14" s="30"/>
      <c r="BK14" s="30"/>
      <c r="BL14" s="30"/>
      <c r="BM14" s="27">
        <v>9</v>
      </c>
      <c r="BN14" s="36" t="s">
        <v>49</v>
      </c>
      <c r="BO14" s="37" t="s">
        <v>55</v>
      </c>
      <c r="BP14" s="15">
        <f t="shared" si="21"/>
        <v>383.83955647955645</v>
      </c>
      <c r="BQ14" s="30"/>
      <c r="BR14" s="30"/>
      <c r="BS14" s="15">
        <f t="shared" si="22"/>
        <v>2645.1608356453853</v>
      </c>
      <c r="BT14" s="30">
        <f>12496*100/118*0.8</f>
        <v>8471.864406779661</v>
      </c>
      <c r="BU14" s="15">
        <f t="shared" si="23"/>
        <v>2848.063580003616</v>
      </c>
      <c r="BV14" s="27">
        <v>9</v>
      </c>
      <c r="BW14" s="36" t="s">
        <v>49</v>
      </c>
      <c r="BX14" s="37" t="s">
        <v>55</v>
      </c>
      <c r="BY14" s="18">
        <f t="shared" si="24"/>
        <v>151248.25713793084</v>
      </c>
      <c r="BZ14" s="18">
        <f t="shared" si="25"/>
        <v>0.5974890188168179</v>
      </c>
      <c r="CA14" s="15">
        <f t="shared" si="26"/>
        <v>108284.33022826436</v>
      </c>
      <c r="CB14" s="15">
        <f t="shared" si="27"/>
        <v>32701.867654098827</v>
      </c>
      <c r="CC14" s="15">
        <f t="shared" si="28"/>
        <v>10262.05925556764</v>
      </c>
      <c r="CD14" s="15">
        <f t="shared" si="29"/>
        <v>10977.363075304289</v>
      </c>
      <c r="CE14" s="27">
        <v>9</v>
      </c>
      <c r="CF14" s="36" t="s">
        <v>49</v>
      </c>
      <c r="CG14" s="37" t="s">
        <v>55</v>
      </c>
      <c r="CH14" s="15">
        <f t="shared" si="30"/>
        <v>51768.107225840584</v>
      </c>
      <c r="CI14" s="15">
        <f t="shared" si="31"/>
        <v>9958.282183664756</v>
      </c>
      <c r="CJ14" s="15">
        <f t="shared" si="32"/>
        <v>19388.333076895353</v>
      </c>
      <c r="CK14" s="62">
        <f t="shared" si="33"/>
        <v>800.9973997713947</v>
      </c>
      <c r="CL14" s="67">
        <f t="shared" si="34"/>
        <v>177738.87</v>
      </c>
      <c r="CM14" s="67">
        <f t="shared" si="35"/>
        <v>150626.16101694916</v>
      </c>
      <c r="CN14" s="74"/>
    </row>
    <row r="15" spans="1:92" ht="11.25" customHeight="1">
      <c r="A15" s="27">
        <v>10</v>
      </c>
      <c r="B15" s="28" t="s">
        <v>49</v>
      </c>
      <c r="C15" s="37" t="s">
        <v>56</v>
      </c>
      <c r="D15" s="31">
        <v>1947</v>
      </c>
      <c r="E15" s="32">
        <v>2</v>
      </c>
      <c r="F15" s="32">
        <v>2</v>
      </c>
      <c r="G15" s="32"/>
      <c r="H15" s="32">
        <v>12</v>
      </c>
      <c r="I15" s="32"/>
      <c r="J15" s="33">
        <v>89.9</v>
      </c>
      <c r="K15" s="34">
        <f>149+6+36</f>
        <v>191</v>
      </c>
      <c r="L15" s="35">
        <v>0</v>
      </c>
      <c r="M15" s="35">
        <v>0</v>
      </c>
      <c r="N15" s="35">
        <v>995</v>
      </c>
      <c r="O15" s="32"/>
      <c r="P15" s="27">
        <v>10</v>
      </c>
      <c r="Q15" s="36" t="s">
        <v>49</v>
      </c>
      <c r="R15" s="37" t="s">
        <v>56</v>
      </c>
      <c r="S15" s="30">
        <v>663.91</v>
      </c>
      <c r="T15" s="30">
        <v>663.91</v>
      </c>
      <c r="U15" s="23">
        <v>12.38</v>
      </c>
      <c r="V15" s="23">
        <v>14.24</v>
      </c>
      <c r="W15" s="23">
        <f t="shared" si="36"/>
        <v>106039.7052</v>
      </c>
      <c r="X15" s="23">
        <f t="shared" si="1"/>
        <v>176170.57222535022</v>
      </c>
      <c r="Y15" s="23">
        <f t="shared" si="2"/>
        <v>-70130.86702535022</v>
      </c>
      <c r="Z15" s="27">
        <v>10</v>
      </c>
      <c r="AA15" s="36" t="s">
        <v>49</v>
      </c>
      <c r="AB15" s="37" t="s">
        <v>56</v>
      </c>
      <c r="AC15" s="24">
        <f t="shared" si="3"/>
        <v>149297.095106229</v>
      </c>
      <c r="AD15" s="15">
        <f t="shared" si="4"/>
        <v>28471.011702490257</v>
      </c>
      <c r="AE15" s="30">
        <f>0.29*1.078*0.997053</f>
        <v>0.31169870886</v>
      </c>
      <c r="AF15" s="15">
        <f t="shared" si="5"/>
        <v>21156.556090477916</v>
      </c>
      <c r="AG15" s="15">
        <f t="shared" si="6"/>
        <v>6389.279941608646</v>
      </c>
      <c r="AH15" s="30">
        <f t="shared" si="0"/>
        <v>27545.83603208656</v>
      </c>
      <c r="AI15" s="15">
        <f t="shared" si="7"/>
        <v>925.1756704036978</v>
      </c>
      <c r="AJ15" s="27">
        <v>10</v>
      </c>
      <c r="AK15" s="36" t="s">
        <v>49</v>
      </c>
      <c r="AL15" s="37" t="s">
        <v>56</v>
      </c>
      <c r="AM15" s="15">
        <f t="shared" si="8"/>
        <v>65822.33053004085</v>
      </c>
      <c r="AN15" s="30">
        <f>(0.244+0.018)*1.003*0.9976247</f>
        <v>0.26216180441419995</v>
      </c>
      <c r="AO15" s="15">
        <f t="shared" si="9"/>
        <v>36874.46297812888</v>
      </c>
      <c r="AP15" s="15">
        <f t="shared" si="10"/>
        <v>11136.087822058154</v>
      </c>
      <c r="AQ15" s="25">
        <f t="shared" si="11"/>
        <v>9271.771838862192</v>
      </c>
      <c r="AR15" s="26">
        <f t="shared" si="12"/>
        <v>482.90386289323976</v>
      </c>
      <c r="AS15" s="27">
        <v>10</v>
      </c>
      <c r="AT15" s="36" t="s">
        <v>49</v>
      </c>
      <c r="AU15" s="37" t="s">
        <v>56</v>
      </c>
      <c r="AV15" s="26">
        <f t="shared" si="13"/>
        <v>452.44776160776155</v>
      </c>
      <c r="AW15" s="15">
        <f t="shared" si="14"/>
        <v>452.44776160776155</v>
      </c>
      <c r="AX15" s="26"/>
      <c r="AY15" s="30"/>
      <c r="AZ15" s="23">
        <f t="shared" si="15"/>
        <v>0.035522935269303904</v>
      </c>
      <c r="BA15" s="23">
        <f t="shared" si="16"/>
        <v>4979.410400365745</v>
      </c>
      <c r="BB15" s="23">
        <f t="shared" si="17"/>
        <v>1503.7819556363263</v>
      </c>
      <c r="BC15" s="61">
        <f t="shared" si="18"/>
        <v>1121.4639104885518</v>
      </c>
      <c r="BD15" s="27">
        <v>10</v>
      </c>
      <c r="BE15" s="36" t="s">
        <v>49</v>
      </c>
      <c r="BF15" s="37" t="s">
        <v>56</v>
      </c>
      <c r="BG15" s="15">
        <f t="shared" si="19"/>
        <v>2749.36778539799</v>
      </c>
      <c r="BH15" s="26">
        <f t="shared" si="20"/>
        <v>591.5199415908017</v>
      </c>
      <c r="BI15" s="30"/>
      <c r="BJ15" s="30"/>
      <c r="BK15" s="30"/>
      <c r="BL15" s="30"/>
      <c r="BM15" s="27">
        <v>10</v>
      </c>
      <c r="BN15" s="36" t="s">
        <v>49</v>
      </c>
      <c r="BO15" s="37" t="s">
        <v>56</v>
      </c>
      <c r="BP15" s="15">
        <f t="shared" si="21"/>
        <v>66.75470547470547</v>
      </c>
      <c r="BQ15" s="30">
        <f>19.07*H15*4</f>
        <v>915.36</v>
      </c>
      <c r="BR15" s="30"/>
      <c r="BS15" s="15">
        <f t="shared" si="22"/>
        <v>566.152593698484</v>
      </c>
      <c r="BT15" s="30"/>
      <c r="BU15" s="15">
        <f t="shared" si="23"/>
        <v>609.5805446339988</v>
      </c>
      <c r="BV15" s="27">
        <v>10</v>
      </c>
      <c r="BW15" s="36" t="s">
        <v>49</v>
      </c>
      <c r="BX15" s="37" t="s">
        <v>56</v>
      </c>
      <c r="BY15" s="18">
        <f t="shared" si="24"/>
        <v>32372.16879862138</v>
      </c>
      <c r="BZ15" s="18">
        <f t="shared" si="25"/>
        <v>0.12788256696949404</v>
      </c>
      <c r="CA15" s="15">
        <f t="shared" si="26"/>
        <v>23176.45626288629</v>
      </c>
      <c r="CB15" s="15">
        <f t="shared" si="27"/>
        <v>6999.289775374045</v>
      </c>
      <c r="CC15" s="15">
        <f t="shared" si="28"/>
        <v>2196.42276036104</v>
      </c>
      <c r="CD15" s="15">
        <f t="shared" si="29"/>
        <v>2349.5216220140137</v>
      </c>
      <c r="CE15" s="27">
        <v>10</v>
      </c>
      <c r="CF15" s="36" t="s">
        <v>49</v>
      </c>
      <c r="CG15" s="37" t="s">
        <v>56</v>
      </c>
      <c r="CH15" s="15">
        <f t="shared" si="30"/>
        <v>11080.100605534613</v>
      </c>
      <c r="CI15" s="15">
        <f t="shared" si="31"/>
        <v>2131.4043407449844</v>
      </c>
      <c r="CJ15" s="15">
        <f t="shared" si="32"/>
        <v>4149.749577059735</v>
      </c>
      <c r="CK15" s="62">
        <f t="shared" si="33"/>
        <v>171.44014432516414</v>
      </c>
      <c r="CL15" s="67">
        <f t="shared" si="34"/>
        <v>38042.043000000005</v>
      </c>
      <c r="CM15" s="67">
        <f t="shared" si="35"/>
        <v>32239.01949152543</v>
      </c>
      <c r="CN15" s="74"/>
    </row>
    <row r="16" spans="1:92" ht="11.25" customHeight="1">
      <c r="A16" s="27">
        <v>11</v>
      </c>
      <c r="B16" s="28" t="s">
        <v>49</v>
      </c>
      <c r="C16" s="29">
        <v>13</v>
      </c>
      <c r="D16" s="31">
        <v>1965</v>
      </c>
      <c r="E16" s="32">
        <v>4</v>
      </c>
      <c r="F16" s="32">
        <v>5</v>
      </c>
      <c r="G16" s="32"/>
      <c r="H16" s="32">
        <v>64</v>
      </c>
      <c r="I16" s="32"/>
      <c r="J16" s="33">
        <v>295.9</v>
      </c>
      <c r="K16" s="34">
        <f>649+26+466</f>
        <v>1141</v>
      </c>
      <c r="L16" s="35">
        <v>0</v>
      </c>
      <c r="M16" s="35">
        <v>0</v>
      </c>
      <c r="N16" s="35">
        <v>2165</v>
      </c>
      <c r="O16" s="32"/>
      <c r="P16" s="27">
        <v>11</v>
      </c>
      <c r="Q16" s="36" t="s">
        <v>49</v>
      </c>
      <c r="R16" s="37">
        <v>13</v>
      </c>
      <c r="S16" s="30">
        <v>2566.4</v>
      </c>
      <c r="T16" s="30">
        <v>2566.4</v>
      </c>
      <c r="U16" s="23">
        <v>20.35</v>
      </c>
      <c r="V16" s="23">
        <v>21.98</v>
      </c>
      <c r="W16" s="23">
        <f t="shared" si="36"/>
        <v>651814.2720000001</v>
      </c>
      <c r="X16" s="23">
        <f t="shared" si="1"/>
        <v>656741.2276893468</v>
      </c>
      <c r="Y16" s="23">
        <f t="shared" si="2"/>
        <v>-4926.955689346651</v>
      </c>
      <c r="Z16" s="27">
        <v>11</v>
      </c>
      <c r="AA16" s="36" t="s">
        <v>49</v>
      </c>
      <c r="AB16" s="37">
        <v>13</v>
      </c>
      <c r="AC16" s="24">
        <f t="shared" si="3"/>
        <v>556560.362448599</v>
      </c>
      <c r="AD16" s="15">
        <f t="shared" si="4"/>
        <v>93267.10730126119</v>
      </c>
      <c r="AE16" s="30">
        <f>0.95*1.078*0.997053</f>
        <v>1.0210819773</v>
      </c>
      <c r="AF16" s="15">
        <f t="shared" si="5"/>
        <v>69305.95960673799</v>
      </c>
      <c r="AG16" s="15">
        <f t="shared" si="6"/>
        <v>20930.399808717975</v>
      </c>
      <c r="AH16" s="30">
        <f t="shared" si="0"/>
        <v>90236.35941545597</v>
      </c>
      <c r="AI16" s="15">
        <f t="shared" si="7"/>
        <v>3030.747885805217</v>
      </c>
      <c r="AJ16" s="27">
        <v>11</v>
      </c>
      <c r="AK16" s="36" t="s">
        <v>49</v>
      </c>
      <c r="AL16" s="37">
        <v>13</v>
      </c>
      <c r="AM16" s="15">
        <f t="shared" si="8"/>
        <v>249230.11959654948</v>
      </c>
      <c r="AN16" s="30">
        <f>(0.963+0.018)*1.003*0.9976247</f>
        <v>0.9816058401921</v>
      </c>
      <c r="AO16" s="15">
        <f t="shared" si="9"/>
        <v>138068.12283032227</v>
      </c>
      <c r="AP16" s="15">
        <f t="shared" si="10"/>
        <v>41696.5731047292</v>
      </c>
      <c r="AQ16" s="25">
        <f t="shared" si="11"/>
        <v>35840.8146394179</v>
      </c>
      <c r="AR16" s="26">
        <f t="shared" si="12"/>
        <v>1815.1152545971875</v>
      </c>
      <c r="AS16" s="27">
        <v>11</v>
      </c>
      <c r="AT16" s="36" t="s">
        <v>49</v>
      </c>
      <c r="AU16" s="37">
        <v>13</v>
      </c>
      <c r="AV16" s="26">
        <f t="shared" si="13"/>
        <v>2413.0547285747284</v>
      </c>
      <c r="AW16" s="15">
        <f t="shared" si="14"/>
        <v>2413.0547285747284</v>
      </c>
      <c r="AX16" s="26"/>
      <c r="AY16" s="30"/>
      <c r="AZ16" s="23">
        <f t="shared" si="15"/>
        <v>0.13731689698173177</v>
      </c>
      <c r="BA16" s="23">
        <f t="shared" si="16"/>
        <v>19248.330122303698</v>
      </c>
      <c r="BB16" s="23">
        <f t="shared" si="17"/>
        <v>5812.995753859812</v>
      </c>
      <c r="BC16" s="61">
        <f t="shared" si="18"/>
        <v>4335.113162744678</v>
      </c>
      <c r="BD16" s="27">
        <v>11</v>
      </c>
      <c r="BE16" s="36" t="s">
        <v>49</v>
      </c>
      <c r="BF16" s="37">
        <v>13</v>
      </c>
      <c r="BG16" s="15">
        <f t="shared" si="19"/>
        <v>12069.410662455626</v>
      </c>
      <c r="BH16" s="26">
        <f t="shared" si="20"/>
        <v>2286.570134654748</v>
      </c>
      <c r="BI16" s="30"/>
      <c r="BJ16" s="30"/>
      <c r="BK16" s="30"/>
      <c r="BL16" s="30"/>
      <c r="BM16" s="27">
        <v>11</v>
      </c>
      <c r="BN16" s="36" t="s">
        <v>49</v>
      </c>
      <c r="BO16" s="37">
        <v>13</v>
      </c>
      <c r="BP16" s="15">
        <f t="shared" si="21"/>
        <v>356.02509586509586</v>
      </c>
      <c r="BQ16" s="30">
        <f>19.07*H16*4</f>
        <v>4881.92</v>
      </c>
      <c r="BR16" s="30"/>
      <c r="BS16" s="15">
        <f t="shared" si="22"/>
        <v>2188.5105156840377</v>
      </c>
      <c r="BT16" s="30"/>
      <c r="BU16" s="15">
        <f t="shared" si="23"/>
        <v>2356.3849162517427</v>
      </c>
      <c r="BV16" s="27">
        <v>11</v>
      </c>
      <c r="BW16" s="36" t="s">
        <v>49</v>
      </c>
      <c r="BX16" s="37">
        <v>13</v>
      </c>
      <c r="BY16" s="18">
        <f t="shared" si="24"/>
        <v>125137.34392429983</v>
      </c>
      <c r="BZ16" s="18">
        <f t="shared" si="25"/>
        <v>0.4943408291342344</v>
      </c>
      <c r="CA16" s="15">
        <f t="shared" si="26"/>
        <v>89590.54292460029</v>
      </c>
      <c r="CB16" s="15">
        <f t="shared" si="27"/>
        <v>27056.343901311848</v>
      </c>
      <c r="CC16" s="15">
        <f t="shared" si="28"/>
        <v>8490.457098387695</v>
      </c>
      <c r="CD16" s="15">
        <f t="shared" si="29"/>
        <v>9082.27363759661</v>
      </c>
      <c r="CE16" s="27">
        <v>11</v>
      </c>
      <c r="CF16" s="36" t="s">
        <v>49</v>
      </c>
      <c r="CG16" s="37">
        <v>13</v>
      </c>
      <c r="CH16" s="15">
        <f t="shared" si="30"/>
        <v>42831.061731325084</v>
      </c>
      <c r="CI16" s="15">
        <f t="shared" si="31"/>
        <v>8239.122923420235</v>
      </c>
      <c r="CJ16" s="15">
        <f t="shared" si="32"/>
        <v>16041.20636014837</v>
      </c>
      <c r="CK16" s="62">
        <f t="shared" si="33"/>
        <v>662.7163115423797</v>
      </c>
      <c r="CL16" s="67">
        <f t="shared" si="34"/>
        <v>147054.72000000003</v>
      </c>
      <c r="CM16" s="67">
        <f t="shared" si="35"/>
        <v>124622.64406779665</v>
      </c>
      <c r="CN16" s="74"/>
    </row>
    <row r="17" spans="1:92" ht="11.25" customHeight="1">
      <c r="A17" s="27">
        <v>12</v>
      </c>
      <c r="B17" s="28" t="s">
        <v>49</v>
      </c>
      <c r="C17" s="29" t="s">
        <v>57</v>
      </c>
      <c r="D17" s="31">
        <v>1965</v>
      </c>
      <c r="E17" s="32">
        <v>4</v>
      </c>
      <c r="F17" s="32">
        <v>5</v>
      </c>
      <c r="G17" s="32"/>
      <c r="H17" s="32">
        <v>80</v>
      </c>
      <c r="I17" s="32"/>
      <c r="J17" s="33">
        <v>357</v>
      </c>
      <c r="K17" s="34">
        <f>285+169</f>
        <v>454</v>
      </c>
      <c r="L17" s="35">
        <v>0</v>
      </c>
      <c r="M17" s="35">
        <v>0</v>
      </c>
      <c r="N17" s="35">
        <v>2989</v>
      </c>
      <c r="O17" s="32"/>
      <c r="P17" s="27">
        <v>12</v>
      </c>
      <c r="Q17" s="36" t="s">
        <v>49</v>
      </c>
      <c r="R17" s="37" t="s">
        <v>57</v>
      </c>
      <c r="S17" s="30">
        <v>3907.4</v>
      </c>
      <c r="T17" s="30">
        <v>3907.4</v>
      </c>
      <c r="U17" s="23">
        <v>20.35</v>
      </c>
      <c r="V17" s="23">
        <v>21.98</v>
      </c>
      <c r="W17" s="23">
        <f>(S17*U17*6)+(3862.1*V17*6)+45.3*21.2*6</f>
        <v>992189.4480000001</v>
      </c>
      <c r="X17" s="23">
        <f t="shared" si="1"/>
        <v>833485.8279794552</v>
      </c>
      <c r="Y17" s="23">
        <f t="shared" si="2"/>
        <v>158703.62002054485</v>
      </c>
      <c r="Z17" s="27">
        <v>12</v>
      </c>
      <c r="AA17" s="36" t="s">
        <v>49</v>
      </c>
      <c r="AB17" s="37" t="s">
        <v>57</v>
      </c>
      <c r="AC17" s="24">
        <f t="shared" si="3"/>
        <v>706343.9220164876</v>
      </c>
      <c r="AD17" s="15">
        <f t="shared" si="4"/>
        <v>93267.10730126119</v>
      </c>
      <c r="AE17" s="30">
        <f>0.95*1.078*0.997053</f>
        <v>1.0210819773</v>
      </c>
      <c r="AF17" s="15">
        <f t="shared" si="5"/>
        <v>69305.95960673799</v>
      </c>
      <c r="AG17" s="15">
        <f t="shared" si="6"/>
        <v>20930.399808717975</v>
      </c>
      <c r="AH17" s="30">
        <f t="shared" si="0"/>
        <v>90236.35941545597</v>
      </c>
      <c r="AI17" s="15">
        <f t="shared" si="7"/>
        <v>3030.747885805217</v>
      </c>
      <c r="AJ17" s="27">
        <v>12</v>
      </c>
      <c r="AK17" s="36" t="s">
        <v>49</v>
      </c>
      <c r="AL17" s="37" t="s">
        <v>57</v>
      </c>
      <c r="AM17" s="15">
        <f t="shared" si="8"/>
        <v>282743.57930312783</v>
      </c>
      <c r="AN17" s="30">
        <f>(0.956+0.018)*1.003*0.9976247</f>
        <v>0.9746015171733998</v>
      </c>
      <c r="AO17" s="15">
        <f t="shared" si="9"/>
        <v>137082.92725457074</v>
      </c>
      <c r="AP17" s="15">
        <f t="shared" si="10"/>
        <v>41399.044040781075</v>
      </c>
      <c r="AQ17" s="25">
        <f t="shared" si="11"/>
        <v>54568.42235117732</v>
      </c>
      <c r="AR17" s="26">
        <f t="shared" si="12"/>
        <v>1920.1473656473825</v>
      </c>
      <c r="AS17" s="27">
        <v>12</v>
      </c>
      <c r="AT17" s="36" t="s">
        <v>49</v>
      </c>
      <c r="AU17" s="37" t="s">
        <v>57</v>
      </c>
      <c r="AV17" s="26">
        <f t="shared" si="13"/>
        <v>3016.3184107184106</v>
      </c>
      <c r="AW17" s="15">
        <f t="shared" si="14"/>
        <v>3016.3184107184106</v>
      </c>
      <c r="AX17" s="26"/>
      <c r="AY17" s="30"/>
      <c r="AZ17" s="23">
        <f t="shared" si="15"/>
        <v>0.20906797197101729</v>
      </c>
      <c r="BA17" s="23">
        <f t="shared" si="16"/>
        <v>29306.0026184108</v>
      </c>
      <c r="BB17" s="23">
        <f t="shared" si="17"/>
        <v>8850.412877428238</v>
      </c>
      <c r="BC17" s="61">
        <f t="shared" si="18"/>
        <v>6600.30438439392</v>
      </c>
      <c r="BD17" s="27">
        <v>12</v>
      </c>
      <c r="BE17" s="36" t="s">
        <v>49</v>
      </c>
      <c r="BF17" s="37" t="s">
        <v>57</v>
      </c>
      <c r="BG17" s="15">
        <f t="shared" si="19"/>
        <v>22793.38167586484</v>
      </c>
      <c r="BH17" s="26">
        <f t="shared" si="20"/>
        <v>3481.3529239985824</v>
      </c>
      <c r="BI17" s="30"/>
      <c r="BJ17" s="30"/>
      <c r="BK17" s="30"/>
      <c r="BL17" s="30"/>
      <c r="BM17" s="27">
        <v>12</v>
      </c>
      <c r="BN17" s="36" t="s">
        <v>49</v>
      </c>
      <c r="BO17" s="37" t="s">
        <v>57</v>
      </c>
      <c r="BP17" s="15">
        <f t="shared" si="21"/>
        <v>445.03136983136983</v>
      </c>
      <c r="BQ17" s="30">
        <f>19.07*H17*1</f>
        <v>1525.6</v>
      </c>
      <c r="BR17" s="30"/>
      <c r="BS17" s="15">
        <f t="shared" si="22"/>
        <v>3332.0550144107738</v>
      </c>
      <c r="BT17" s="30">
        <f>15372*100/118*0.8</f>
        <v>10421.694915254238</v>
      </c>
      <c r="BU17" s="15">
        <f t="shared" si="23"/>
        <v>3587.64745236988</v>
      </c>
      <c r="BV17" s="27">
        <v>12</v>
      </c>
      <c r="BW17" s="36" t="s">
        <v>49</v>
      </c>
      <c r="BX17" s="37" t="s">
        <v>57</v>
      </c>
      <c r="BY17" s="18">
        <f t="shared" si="24"/>
        <v>190524.3366777623</v>
      </c>
      <c r="BZ17" s="18">
        <f t="shared" si="25"/>
        <v>0.7526446990956621</v>
      </c>
      <c r="CA17" s="15">
        <f t="shared" si="26"/>
        <v>136403.55650856576</v>
      </c>
      <c r="CB17" s="15">
        <f t="shared" si="27"/>
        <v>41193.87397131621</v>
      </c>
      <c r="CC17" s="15">
        <f t="shared" si="28"/>
        <v>12926.90619788033</v>
      </c>
      <c r="CD17" s="15">
        <f t="shared" si="29"/>
        <v>13827.959792528442</v>
      </c>
      <c r="CE17" s="27">
        <v>12</v>
      </c>
      <c r="CF17" s="36" t="s">
        <v>49</v>
      </c>
      <c r="CG17" s="37" t="s">
        <v>57</v>
      </c>
      <c r="CH17" s="15">
        <f t="shared" si="30"/>
        <v>65211.22607893533</v>
      </c>
      <c r="CI17" s="15">
        <f t="shared" si="31"/>
        <v>12544.244432267857</v>
      </c>
      <c r="CJ17" s="15">
        <f t="shared" si="32"/>
        <v>24423.086709649215</v>
      </c>
      <c r="CK17" s="62">
        <f t="shared" si="33"/>
        <v>1009.0000450906695</v>
      </c>
      <c r="CL17" s="67">
        <f t="shared" si="34"/>
        <v>223894.02</v>
      </c>
      <c r="CM17" s="67">
        <f t="shared" si="35"/>
        <v>189740.69491525425</v>
      </c>
      <c r="CN17" s="74"/>
    </row>
    <row r="18" spans="1:92" ht="11.25" customHeight="1">
      <c r="A18" s="27">
        <v>13</v>
      </c>
      <c r="B18" s="28" t="s">
        <v>49</v>
      </c>
      <c r="C18" s="29" t="s">
        <v>58</v>
      </c>
      <c r="D18" s="31">
        <v>1967</v>
      </c>
      <c r="E18" s="32">
        <v>6</v>
      </c>
      <c r="F18" s="32">
        <v>5</v>
      </c>
      <c r="G18" s="32"/>
      <c r="H18" s="32">
        <v>90</v>
      </c>
      <c r="I18" s="32"/>
      <c r="J18" s="33">
        <v>506.8</v>
      </c>
      <c r="K18" s="34">
        <f>475+214</f>
        <v>689</v>
      </c>
      <c r="L18" s="35">
        <v>0</v>
      </c>
      <c r="M18" s="35">
        <v>0</v>
      </c>
      <c r="N18" s="35">
        <v>3147</v>
      </c>
      <c r="O18" s="32"/>
      <c r="P18" s="27">
        <v>13</v>
      </c>
      <c r="Q18" s="36" t="s">
        <v>49</v>
      </c>
      <c r="R18" s="37" t="s">
        <v>58</v>
      </c>
      <c r="S18" s="30">
        <v>3973.6</v>
      </c>
      <c r="T18" s="30">
        <v>3973.6</v>
      </c>
      <c r="U18" s="23">
        <v>20.35</v>
      </c>
      <c r="V18" s="23">
        <v>21.98</v>
      </c>
      <c r="W18" s="23">
        <f t="shared" si="36"/>
        <v>1009214.9280000001</v>
      </c>
      <c r="X18" s="23">
        <f t="shared" si="1"/>
        <v>890474.3681490172</v>
      </c>
      <c r="Y18" s="23">
        <f t="shared" si="2"/>
        <v>118740.55985098286</v>
      </c>
      <c r="Z18" s="27">
        <v>13</v>
      </c>
      <c r="AA18" s="36" t="s">
        <v>49</v>
      </c>
      <c r="AB18" s="37" t="s">
        <v>58</v>
      </c>
      <c r="AC18" s="24">
        <f t="shared" si="3"/>
        <v>754639.29504154</v>
      </c>
      <c r="AD18" s="15">
        <f t="shared" si="4"/>
        <v>119774.60095530385</v>
      </c>
      <c r="AE18" s="30">
        <f>1.22*1.078*0.997053</f>
        <v>1.31128422348</v>
      </c>
      <c r="AF18" s="15">
        <f t="shared" si="5"/>
        <v>89003.44286338985</v>
      </c>
      <c r="AG18" s="15">
        <f t="shared" si="6"/>
        <v>26879.039754353616</v>
      </c>
      <c r="AH18" s="30">
        <f t="shared" si="0"/>
        <v>115882.48261774346</v>
      </c>
      <c r="AI18" s="15">
        <f t="shared" si="7"/>
        <v>3892.1183375603837</v>
      </c>
      <c r="AJ18" s="27">
        <v>13</v>
      </c>
      <c r="AK18" s="36" t="s">
        <v>49</v>
      </c>
      <c r="AL18" s="37" t="s">
        <v>58</v>
      </c>
      <c r="AM18" s="15">
        <f t="shared" si="8"/>
        <v>300338.19722988066</v>
      </c>
      <c r="AN18" s="30">
        <f>(1.04+0.018)*1.003*0.9976247</f>
        <v>1.0586533933978</v>
      </c>
      <c r="AO18" s="15">
        <f t="shared" si="9"/>
        <v>148905.27416358917</v>
      </c>
      <c r="AP18" s="15">
        <f t="shared" si="10"/>
        <v>44969.3928081585</v>
      </c>
      <c r="AQ18" s="25">
        <f t="shared" si="11"/>
        <v>55492.93214276455</v>
      </c>
      <c r="AR18" s="26">
        <f t="shared" si="12"/>
        <v>2062.2421769209154</v>
      </c>
      <c r="AS18" s="27">
        <v>13</v>
      </c>
      <c r="AT18" s="36" t="s">
        <v>49</v>
      </c>
      <c r="AU18" s="37" t="s">
        <v>58</v>
      </c>
      <c r="AV18" s="26">
        <f t="shared" si="13"/>
        <v>3393.358212058212</v>
      </c>
      <c r="AW18" s="15">
        <f t="shared" si="14"/>
        <v>3393.358212058212</v>
      </c>
      <c r="AX18" s="26"/>
      <c r="AY18" s="30"/>
      <c r="AZ18" s="23">
        <f t="shared" si="15"/>
        <v>0.2126100459190342</v>
      </c>
      <c r="BA18" s="23">
        <f t="shared" si="16"/>
        <v>29802.511133878575</v>
      </c>
      <c r="BB18" s="23">
        <f t="shared" si="17"/>
        <v>9000.358450567857</v>
      </c>
      <c r="BC18" s="61">
        <f t="shared" si="18"/>
        <v>6712.128141942898</v>
      </c>
      <c r="BD18" s="27">
        <v>13</v>
      </c>
      <c r="BE18" s="36" t="s">
        <v>49</v>
      </c>
      <c r="BF18" s="37" t="s">
        <v>58</v>
      </c>
      <c r="BG18" s="15">
        <f t="shared" si="19"/>
        <v>21776.237654252174</v>
      </c>
      <c r="BH18" s="26">
        <f t="shared" si="20"/>
        <v>3540.3347440243556</v>
      </c>
      <c r="BI18" s="30"/>
      <c r="BJ18" s="30"/>
      <c r="BK18" s="30"/>
      <c r="BL18" s="30"/>
      <c r="BM18" s="27">
        <v>13</v>
      </c>
      <c r="BN18" s="36" t="s">
        <v>49</v>
      </c>
      <c r="BO18" s="37" t="s">
        <v>58</v>
      </c>
      <c r="BP18" s="15">
        <f t="shared" si="21"/>
        <v>500.66029106029106</v>
      </c>
      <c r="BQ18" s="30"/>
      <c r="BR18" s="30"/>
      <c r="BS18" s="15">
        <f t="shared" si="22"/>
        <v>3388.507397569394</v>
      </c>
      <c r="BT18" s="30">
        <f>15780*100/118*0.8</f>
        <v>10698.305084745763</v>
      </c>
      <c r="BU18" s="15">
        <f t="shared" si="23"/>
        <v>3648.430136852371</v>
      </c>
      <c r="BV18" s="27">
        <v>13</v>
      </c>
      <c r="BW18" s="36" t="s">
        <v>49</v>
      </c>
      <c r="BX18" s="37" t="s">
        <v>58</v>
      </c>
      <c r="BY18" s="18">
        <f t="shared" si="24"/>
        <v>193752.24042144552</v>
      </c>
      <c r="BZ18" s="18">
        <f t="shared" si="25"/>
        <v>0.7653961653085231</v>
      </c>
      <c r="CA18" s="15">
        <f t="shared" si="26"/>
        <v>138714.53450950424</v>
      </c>
      <c r="CB18" s="15">
        <f t="shared" si="27"/>
        <v>41891.78932600248</v>
      </c>
      <c r="CC18" s="15">
        <f t="shared" si="28"/>
        <v>13145.916585938803</v>
      </c>
      <c r="CD18" s="15">
        <f t="shared" si="29"/>
        <v>14062.23602180248</v>
      </c>
      <c r="CE18" s="27">
        <v>13</v>
      </c>
      <c r="CF18" s="36" t="s">
        <v>49</v>
      </c>
      <c r="CG18" s="37" t="s">
        <v>58</v>
      </c>
      <c r="CH18" s="15">
        <f t="shared" si="30"/>
        <v>66316.04850981661</v>
      </c>
      <c r="CI18" s="15">
        <f t="shared" si="31"/>
        <v>12756.771683487626</v>
      </c>
      <c r="CJ18" s="15">
        <f t="shared" si="32"/>
        <v>24836.867827573864</v>
      </c>
      <c r="CK18" s="62">
        <f t="shared" si="33"/>
        <v>1026.0947379772442</v>
      </c>
      <c r="CL18" s="67">
        <f t="shared" si="34"/>
        <v>227687.28</v>
      </c>
      <c r="CM18" s="67">
        <f t="shared" si="35"/>
        <v>192955.3220338983</v>
      </c>
      <c r="CN18" s="74"/>
    </row>
    <row r="19" spans="1:92" ht="11.25" customHeight="1">
      <c r="A19" s="27">
        <v>14</v>
      </c>
      <c r="B19" s="28" t="s">
        <v>49</v>
      </c>
      <c r="C19" s="29" t="s">
        <v>59</v>
      </c>
      <c r="D19" s="31">
        <v>1968</v>
      </c>
      <c r="E19" s="32">
        <v>6</v>
      </c>
      <c r="F19" s="32">
        <v>5</v>
      </c>
      <c r="G19" s="32"/>
      <c r="H19" s="32">
        <v>90</v>
      </c>
      <c r="I19" s="32"/>
      <c r="J19" s="33">
        <v>515.1</v>
      </c>
      <c r="K19" s="34">
        <f>799.4</f>
        <v>799.4</v>
      </c>
      <c r="L19" s="35">
        <v>0</v>
      </c>
      <c r="M19" s="35">
        <v>0</v>
      </c>
      <c r="N19" s="35">
        <v>4235.1</v>
      </c>
      <c r="O19" s="32"/>
      <c r="P19" s="27">
        <v>14</v>
      </c>
      <c r="Q19" s="36" t="s">
        <v>49</v>
      </c>
      <c r="R19" s="37" t="s">
        <v>59</v>
      </c>
      <c r="S19" s="30">
        <v>3955.7</v>
      </c>
      <c r="T19" s="30">
        <v>3955.7</v>
      </c>
      <c r="U19" s="23">
        <v>20.35</v>
      </c>
      <c r="V19" s="23">
        <v>21.98</v>
      </c>
      <c r="W19" s="23">
        <f t="shared" si="36"/>
        <v>1004668.686</v>
      </c>
      <c r="X19" s="23">
        <f t="shared" si="1"/>
        <v>896881.7984054873</v>
      </c>
      <c r="Y19" s="23">
        <f t="shared" si="2"/>
        <v>107786.88759451266</v>
      </c>
      <c r="Z19" s="27">
        <v>14</v>
      </c>
      <c r="AA19" s="36" t="s">
        <v>49</v>
      </c>
      <c r="AB19" s="37" t="s">
        <v>59</v>
      </c>
      <c r="AC19" s="24">
        <f t="shared" si="3"/>
        <v>760069.3206826164</v>
      </c>
      <c r="AD19" s="15">
        <f t="shared" si="4"/>
        <v>137446.26339133226</v>
      </c>
      <c r="AE19" s="30">
        <f>1.4*1.078*0.997053</f>
        <v>1.5047523876</v>
      </c>
      <c r="AF19" s="15">
        <f t="shared" si="5"/>
        <v>102135.09836782441</v>
      </c>
      <c r="AG19" s="15">
        <f t="shared" si="6"/>
        <v>30844.799718110702</v>
      </c>
      <c r="AH19" s="30">
        <f t="shared" si="0"/>
        <v>132979.8980859351</v>
      </c>
      <c r="AI19" s="15">
        <f t="shared" si="7"/>
        <v>4466.365305397161</v>
      </c>
      <c r="AJ19" s="27">
        <v>14</v>
      </c>
      <c r="AK19" s="36" t="s">
        <v>49</v>
      </c>
      <c r="AL19" s="37" t="s">
        <v>59</v>
      </c>
      <c r="AM19" s="15">
        <f t="shared" si="8"/>
        <v>300251.3691469902</v>
      </c>
      <c r="AN19" s="30">
        <f>(1.042+0.018)*1.003*0.9976247</f>
        <v>1.0606546285460001</v>
      </c>
      <c r="AO19" s="15">
        <f t="shared" si="9"/>
        <v>149186.75861380392</v>
      </c>
      <c r="AP19" s="15">
        <f t="shared" si="10"/>
        <v>45054.401112143685</v>
      </c>
      <c r="AQ19" s="25">
        <f t="shared" si="11"/>
        <v>55242.95139851362</v>
      </c>
      <c r="AR19" s="26">
        <f t="shared" si="12"/>
        <v>2063.934915594998</v>
      </c>
      <c r="AS19" s="27">
        <v>14</v>
      </c>
      <c r="AT19" s="36" t="s">
        <v>49</v>
      </c>
      <c r="AU19" s="37" t="s">
        <v>59</v>
      </c>
      <c r="AV19" s="26">
        <f t="shared" si="13"/>
        <v>3393.358212058212</v>
      </c>
      <c r="AW19" s="15">
        <f t="shared" si="14"/>
        <v>3393.358212058212</v>
      </c>
      <c r="AX19" s="26"/>
      <c r="AY19" s="30"/>
      <c r="AZ19" s="23">
        <f t="shared" si="15"/>
        <v>0.21165229480620182</v>
      </c>
      <c r="BA19" s="23">
        <f t="shared" si="16"/>
        <v>29668.25883135783</v>
      </c>
      <c r="BB19" s="23">
        <f t="shared" si="17"/>
        <v>8959.814254809562</v>
      </c>
      <c r="BC19" s="61">
        <f t="shared" si="18"/>
        <v>6681.891808708356</v>
      </c>
      <c r="BD19" s="27">
        <v>14</v>
      </c>
      <c r="BE19" s="36" t="s">
        <v>49</v>
      </c>
      <c r="BF19" s="37" t="s">
        <v>59</v>
      </c>
      <c r="BG19" s="15">
        <f t="shared" si="19"/>
        <v>11030.284800786816</v>
      </c>
      <c r="BH19" s="26">
        <f t="shared" si="20"/>
        <v>3524.3864875521294</v>
      </c>
      <c r="BI19" s="30"/>
      <c r="BJ19" s="30"/>
      <c r="BK19" s="30"/>
      <c r="BL19" s="30"/>
      <c r="BM19" s="27">
        <v>14</v>
      </c>
      <c r="BN19" s="36" t="s">
        <v>49</v>
      </c>
      <c r="BO19" s="37" t="s">
        <v>59</v>
      </c>
      <c r="BP19" s="15">
        <f t="shared" si="21"/>
        <v>500.66029106029106</v>
      </c>
      <c r="BQ19" s="30"/>
      <c r="BR19" s="30"/>
      <c r="BS19" s="15">
        <f t="shared" si="22"/>
        <v>3373.2430824857183</v>
      </c>
      <c r="BT19" s="30"/>
      <c r="BU19" s="15">
        <f t="shared" si="23"/>
        <v>3631.994939688676</v>
      </c>
      <c r="BV19" s="27">
        <v>14</v>
      </c>
      <c r="BW19" s="36" t="s">
        <v>49</v>
      </c>
      <c r="BX19" s="37" t="s">
        <v>59</v>
      </c>
      <c r="BY19" s="18">
        <f t="shared" si="24"/>
        <v>192879.4386538937</v>
      </c>
      <c r="BZ19" s="18">
        <f t="shared" si="25"/>
        <v>0.7619482613023265</v>
      </c>
      <c r="CA19" s="15">
        <f t="shared" si="26"/>
        <v>138089.66281438642</v>
      </c>
      <c r="CB19" s="15">
        <f t="shared" si="27"/>
        <v>41703.078074508754</v>
      </c>
      <c r="CC19" s="15">
        <f t="shared" si="28"/>
        <v>13086.69776499852</v>
      </c>
      <c r="CD19" s="15">
        <f t="shared" si="29"/>
        <v>13998.889428086388</v>
      </c>
      <c r="CE19" s="27">
        <v>14</v>
      </c>
      <c r="CF19" s="36" t="s">
        <v>49</v>
      </c>
      <c r="CG19" s="37" t="s">
        <v>59</v>
      </c>
      <c r="CH19" s="15">
        <f t="shared" si="30"/>
        <v>66017.31253530338</v>
      </c>
      <c r="CI19" s="15">
        <f t="shared" si="31"/>
        <v>12699.305855740891</v>
      </c>
      <c r="CJ19" s="15">
        <f t="shared" si="32"/>
        <v>24724.984413512666</v>
      </c>
      <c r="CK19" s="62">
        <f t="shared" si="33"/>
        <v>1021.4724569701492</v>
      </c>
      <c r="CL19" s="67">
        <f t="shared" si="34"/>
        <v>226661.61</v>
      </c>
      <c r="CM19" s="67">
        <f t="shared" si="35"/>
        <v>192086.11016949153</v>
      </c>
      <c r="CN19" s="74"/>
    </row>
    <row r="20" spans="1:92" ht="11.25" customHeight="1">
      <c r="A20" s="27">
        <v>15</v>
      </c>
      <c r="B20" s="28" t="s">
        <v>49</v>
      </c>
      <c r="C20" s="29">
        <v>14</v>
      </c>
      <c r="D20" s="31">
        <v>1959</v>
      </c>
      <c r="E20" s="32">
        <v>2</v>
      </c>
      <c r="F20" s="32">
        <v>2</v>
      </c>
      <c r="G20" s="32"/>
      <c r="H20" s="32">
        <v>12</v>
      </c>
      <c r="I20" s="32"/>
      <c r="J20" s="33">
        <v>89.8</v>
      </c>
      <c r="K20" s="34">
        <f>224+43</f>
        <v>267</v>
      </c>
      <c r="L20" s="35">
        <v>0</v>
      </c>
      <c r="M20" s="35">
        <v>0</v>
      </c>
      <c r="N20" s="35">
        <v>1870</v>
      </c>
      <c r="O20" s="32"/>
      <c r="P20" s="27">
        <v>15</v>
      </c>
      <c r="Q20" s="36" t="s">
        <v>49</v>
      </c>
      <c r="R20" s="37">
        <v>14</v>
      </c>
      <c r="S20" s="30">
        <v>670.3</v>
      </c>
      <c r="T20" s="30">
        <v>670.3</v>
      </c>
      <c r="U20" s="23">
        <v>13.68</v>
      </c>
      <c r="V20" s="23">
        <v>14.24</v>
      </c>
      <c r="W20" s="23">
        <f t="shared" si="36"/>
        <v>112288.656</v>
      </c>
      <c r="X20" s="23">
        <f t="shared" si="1"/>
        <v>178037.3437657059</v>
      </c>
      <c r="Y20" s="23">
        <f t="shared" si="2"/>
        <v>-65748.68776570591</v>
      </c>
      <c r="Z20" s="27">
        <v>15</v>
      </c>
      <c r="AA20" s="36" t="s">
        <v>49</v>
      </c>
      <c r="AB20" s="37">
        <v>14</v>
      </c>
      <c r="AC20" s="24">
        <f t="shared" si="3"/>
        <v>150879.10488619146</v>
      </c>
      <c r="AD20" s="15">
        <f t="shared" si="4"/>
        <v>34361.565847833066</v>
      </c>
      <c r="AE20" s="30">
        <f>0.35*1.078*0.997053</f>
        <v>0.3761880969</v>
      </c>
      <c r="AF20" s="15">
        <f t="shared" si="5"/>
        <v>25533.774591956102</v>
      </c>
      <c r="AG20" s="15">
        <f t="shared" si="6"/>
        <v>7711.1999295276755</v>
      </c>
      <c r="AH20" s="30">
        <f t="shared" si="0"/>
        <v>33244.974521483775</v>
      </c>
      <c r="AI20" s="15">
        <f t="shared" si="7"/>
        <v>1116.5913263492903</v>
      </c>
      <c r="AJ20" s="27">
        <v>15</v>
      </c>
      <c r="AK20" s="36" t="s">
        <v>49</v>
      </c>
      <c r="AL20" s="37">
        <v>14</v>
      </c>
      <c r="AM20" s="15">
        <f t="shared" si="8"/>
        <v>60993.83878038409</v>
      </c>
      <c r="AN20" s="30">
        <f>(0.217+0.018)*1.003*0.9976247</f>
        <v>0.23514512991349998</v>
      </c>
      <c r="AO20" s="15">
        <f t="shared" si="9"/>
        <v>33074.42290023011</v>
      </c>
      <c r="AP20" s="15">
        <f t="shared" si="10"/>
        <v>9988.475718258269</v>
      </c>
      <c r="AQ20" s="25">
        <f t="shared" si="11"/>
        <v>9361.010774938362</v>
      </c>
      <c r="AR20" s="26">
        <f t="shared" si="12"/>
        <v>439.6320743130576</v>
      </c>
      <c r="AS20" s="27">
        <v>15</v>
      </c>
      <c r="AT20" s="36" t="s">
        <v>49</v>
      </c>
      <c r="AU20" s="37">
        <v>14</v>
      </c>
      <c r="AV20" s="26">
        <f t="shared" si="13"/>
        <v>452.44776160776155</v>
      </c>
      <c r="AW20" s="15">
        <f t="shared" si="14"/>
        <v>452.44776160776155</v>
      </c>
      <c r="AX20" s="26"/>
      <c r="AY20" s="30"/>
      <c r="AZ20" s="23">
        <f t="shared" si="15"/>
        <v>0.03586483636489043</v>
      </c>
      <c r="BA20" s="23">
        <f t="shared" si="16"/>
        <v>5027.336222327061</v>
      </c>
      <c r="BB20" s="23">
        <f t="shared" si="17"/>
        <v>1518.2555540103772</v>
      </c>
      <c r="BC20" s="61">
        <f t="shared" si="18"/>
        <v>1132.257774699095</v>
      </c>
      <c r="BD20" s="27">
        <v>15</v>
      </c>
      <c r="BE20" s="36" t="s">
        <v>49</v>
      </c>
      <c r="BF20" s="37">
        <v>14</v>
      </c>
      <c r="BG20" s="15">
        <f t="shared" si="19"/>
        <v>2766.3772402649297</v>
      </c>
      <c r="BH20" s="26">
        <f t="shared" si="20"/>
        <v>597.2132018621717</v>
      </c>
      <c r="BI20" s="30"/>
      <c r="BJ20" s="30"/>
      <c r="BK20" s="30"/>
      <c r="BL20" s="30"/>
      <c r="BM20" s="27">
        <v>15</v>
      </c>
      <c r="BN20" s="36" t="s">
        <v>49</v>
      </c>
      <c r="BO20" s="37">
        <v>14</v>
      </c>
      <c r="BP20" s="15">
        <f t="shared" si="21"/>
        <v>66.75470547470547</v>
      </c>
      <c r="BQ20" s="30">
        <f>19.07*H20*4</f>
        <v>915.36</v>
      </c>
      <c r="BR20" s="30"/>
      <c r="BS20" s="15">
        <f t="shared" si="22"/>
        <v>571.6016983568463</v>
      </c>
      <c r="BT20" s="30"/>
      <c r="BU20" s="15">
        <f t="shared" si="23"/>
        <v>615.447634571206</v>
      </c>
      <c r="BV20" s="27">
        <v>15</v>
      </c>
      <c r="BW20" s="36" t="s">
        <v>49</v>
      </c>
      <c r="BX20" s="37">
        <v>14</v>
      </c>
      <c r="BY20" s="18">
        <f t="shared" si="24"/>
        <v>32683.744401674787</v>
      </c>
      <c r="BZ20" s="18">
        <f t="shared" si="25"/>
        <v>0.12911341091360554</v>
      </c>
      <c r="CA20" s="15">
        <f t="shared" si="26"/>
        <v>23399.524985333373</v>
      </c>
      <c r="CB20" s="15">
        <f t="shared" si="27"/>
        <v>7066.656529398898</v>
      </c>
      <c r="CC20" s="15">
        <f t="shared" si="28"/>
        <v>2217.5628869425154</v>
      </c>
      <c r="CD20" s="15">
        <f t="shared" si="29"/>
        <v>2372.135294295904</v>
      </c>
      <c r="CE20" s="27">
        <v>15</v>
      </c>
      <c r="CF20" s="36" t="s">
        <v>49</v>
      </c>
      <c r="CG20" s="37">
        <v>14</v>
      </c>
      <c r="CH20" s="15">
        <f t="shared" si="30"/>
        <v>11186.744341687656</v>
      </c>
      <c r="CI20" s="15">
        <f t="shared" si="31"/>
        <v>2151.9186781361377</v>
      </c>
      <c r="CJ20" s="15">
        <f t="shared" si="32"/>
        <v>4189.690080738565</v>
      </c>
      <c r="CK20" s="62">
        <f t="shared" si="33"/>
        <v>173.09022117630028</v>
      </c>
      <c r="CL20" s="67">
        <f t="shared" si="34"/>
        <v>38408.189999999995</v>
      </c>
      <c r="CM20" s="67">
        <f t="shared" si="35"/>
        <v>32549.31355932203</v>
      </c>
      <c r="CN20" s="74"/>
    </row>
    <row r="21" spans="1:92" ht="11.25" customHeight="1">
      <c r="A21" s="27">
        <v>16</v>
      </c>
      <c r="B21" s="28" t="s">
        <v>49</v>
      </c>
      <c r="C21" s="29">
        <v>15</v>
      </c>
      <c r="D21" s="31">
        <v>1970</v>
      </c>
      <c r="E21" s="32">
        <v>6</v>
      </c>
      <c r="F21" s="32">
        <v>5</v>
      </c>
      <c r="G21" s="32"/>
      <c r="H21" s="32">
        <v>98</v>
      </c>
      <c r="I21" s="32"/>
      <c r="J21" s="33">
        <v>475.2</v>
      </c>
      <c r="K21" s="34">
        <v>1991.4</v>
      </c>
      <c r="L21" s="35">
        <v>0</v>
      </c>
      <c r="M21" s="35">
        <v>0</v>
      </c>
      <c r="N21" s="42">
        <v>12610.7</v>
      </c>
      <c r="O21" s="32"/>
      <c r="P21" s="27">
        <v>16</v>
      </c>
      <c r="Q21" s="36" t="s">
        <v>49</v>
      </c>
      <c r="R21" s="37">
        <v>15</v>
      </c>
      <c r="S21" s="30">
        <v>4563.2</v>
      </c>
      <c r="T21" s="30">
        <v>4563.2</v>
      </c>
      <c r="U21" s="23">
        <v>20.35</v>
      </c>
      <c r="V21" s="23">
        <v>21.98</v>
      </c>
      <c r="W21" s="23">
        <f>(S21*U21*6)+(4521.7*V21*6)+41.5*21.2*6</f>
        <v>1158767.316</v>
      </c>
      <c r="X21" s="23">
        <f t="shared" si="1"/>
        <v>1130359.6718854697</v>
      </c>
      <c r="Y21" s="23">
        <f t="shared" si="2"/>
        <v>28407.644114530412</v>
      </c>
      <c r="Z21" s="27">
        <v>16</v>
      </c>
      <c r="AA21" s="36" t="s">
        <v>49</v>
      </c>
      <c r="AB21" s="37">
        <v>15</v>
      </c>
      <c r="AC21" s="24">
        <f t="shared" si="3"/>
        <v>957931.9253266694</v>
      </c>
      <c r="AD21" s="15">
        <f t="shared" si="4"/>
        <v>162971.9980211511</v>
      </c>
      <c r="AE21" s="30">
        <f>1.66*1.078*0.997053</f>
        <v>1.78420640244</v>
      </c>
      <c r="AF21" s="15">
        <f t="shared" si="5"/>
        <v>121103.04520756323</v>
      </c>
      <c r="AG21" s="15">
        <f t="shared" si="6"/>
        <v>36573.119665759834</v>
      </c>
      <c r="AH21" s="30">
        <f t="shared" si="0"/>
        <v>157676.16487332305</v>
      </c>
      <c r="AI21" s="15">
        <f t="shared" si="7"/>
        <v>5295.833147828063</v>
      </c>
      <c r="AJ21" s="27">
        <v>16</v>
      </c>
      <c r="AK21" s="36" t="s">
        <v>49</v>
      </c>
      <c r="AL21" s="37">
        <v>15</v>
      </c>
      <c r="AM21" s="15">
        <f t="shared" si="8"/>
        <v>411440.9320643277</v>
      </c>
      <c r="AN21" s="30">
        <f>(1.556+0.02)*1.003*0.9976247</f>
        <v>1.5769732967816</v>
      </c>
      <c r="AO21" s="15">
        <f t="shared" si="9"/>
        <v>221809.74676920276</v>
      </c>
      <c r="AP21" s="15">
        <f t="shared" si="10"/>
        <v>66986.54354031928</v>
      </c>
      <c r="AQ21" s="25">
        <f t="shared" si="11"/>
        <v>63726.934757867726</v>
      </c>
      <c r="AR21" s="26">
        <f t="shared" si="12"/>
        <v>2954.235560412531</v>
      </c>
      <c r="AS21" s="27">
        <v>16</v>
      </c>
      <c r="AT21" s="36" t="s">
        <v>49</v>
      </c>
      <c r="AU21" s="37">
        <v>15</v>
      </c>
      <c r="AV21" s="26">
        <f t="shared" si="13"/>
        <v>3694.9900531300527</v>
      </c>
      <c r="AW21" s="15">
        <f t="shared" si="14"/>
        <v>3694.9900531300527</v>
      </c>
      <c r="AX21" s="26"/>
      <c r="AY21" s="30"/>
      <c r="AZ21" s="23">
        <f t="shared" si="15"/>
        <v>0.24415697642886472</v>
      </c>
      <c r="BA21" s="23">
        <f t="shared" si="16"/>
        <v>34224.58697556742</v>
      </c>
      <c r="BB21" s="23">
        <f t="shared" si="17"/>
        <v>10335.825367835527</v>
      </c>
      <c r="BC21" s="61">
        <f t="shared" si="18"/>
        <v>7708.069039992408</v>
      </c>
      <c r="BD21" s="27">
        <v>16</v>
      </c>
      <c r="BE21" s="36" t="s">
        <v>49</v>
      </c>
      <c r="BF21" s="37">
        <v>15</v>
      </c>
      <c r="BG21" s="15">
        <f t="shared" si="19"/>
        <v>24363.07043974146</v>
      </c>
      <c r="BH21" s="26">
        <f t="shared" si="20"/>
        <v>4065.6471471542022</v>
      </c>
      <c r="BI21" s="30"/>
      <c r="BJ21" s="30"/>
      <c r="BK21" s="30"/>
      <c r="BL21" s="30"/>
      <c r="BM21" s="27">
        <v>16</v>
      </c>
      <c r="BN21" s="36" t="s">
        <v>49</v>
      </c>
      <c r="BO21" s="37">
        <v>15</v>
      </c>
      <c r="BP21" s="15">
        <f t="shared" si="21"/>
        <v>545.163428043428</v>
      </c>
      <c r="BQ21" s="30"/>
      <c r="BR21" s="30"/>
      <c r="BS21" s="15">
        <f t="shared" si="22"/>
        <v>3891.29176479481</v>
      </c>
      <c r="BT21" s="30">
        <f>17215*100/118*0.8</f>
        <v>11671.186440677966</v>
      </c>
      <c r="BU21" s="15">
        <f t="shared" si="23"/>
        <v>4189.781659071054</v>
      </c>
      <c r="BV21" s="27">
        <v>16</v>
      </c>
      <c r="BW21" s="36" t="s">
        <v>49</v>
      </c>
      <c r="BX21" s="37">
        <v>15</v>
      </c>
      <c r="BY21" s="18">
        <f t="shared" si="24"/>
        <v>222501.06288784483</v>
      </c>
      <c r="BZ21" s="18">
        <f t="shared" si="25"/>
        <v>0.878965115143913</v>
      </c>
      <c r="CA21" s="15">
        <f t="shared" si="26"/>
        <v>159296.90051182045</v>
      </c>
      <c r="CB21" s="15">
        <f t="shared" si="27"/>
        <v>48107.663844477174</v>
      </c>
      <c r="CC21" s="15">
        <f t="shared" si="28"/>
        <v>15096.498531547199</v>
      </c>
      <c r="CD21" s="15">
        <f t="shared" si="29"/>
        <v>16148.78080699846</v>
      </c>
      <c r="CE21" s="27">
        <v>16</v>
      </c>
      <c r="CF21" s="36" t="s">
        <v>49</v>
      </c>
      <c r="CG21" s="37">
        <v>15</v>
      </c>
      <c r="CH21" s="15">
        <f t="shared" si="30"/>
        <v>76155.97759210669</v>
      </c>
      <c r="CI21" s="15">
        <f t="shared" si="31"/>
        <v>14649.6125795477</v>
      </c>
      <c r="CJ21" s="15">
        <f t="shared" si="32"/>
        <v>28522.144974528146</v>
      </c>
      <c r="CK21" s="62">
        <f t="shared" si="33"/>
        <v>1178.3459604232335</v>
      </c>
      <c r="CL21" s="67">
        <f t="shared" si="34"/>
        <v>261471.36</v>
      </c>
      <c r="CM21" s="67">
        <f t="shared" si="35"/>
        <v>221585.89830508476</v>
      </c>
      <c r="CN21" s="74"/>
    </row>
    <row r="22" spans="1:92" ht="11.25" customHeight="1">
      <c r="A22" s="27">
        <v>17</v>
      </c>
      <c r="B22" s="28" t="s">
        <v>49</v>
      </c>
      <c r="C22" s="29" t="s">
        <v>60</v>
      </c>
      <c r="D22" s="31">
        <v>1969</v>
      </c>
      <c r="E22" s="32">
        <v>6</v>
      </c>
      <c r="F22" s="32">
        <v>5</v>
      </c>
      <c r="G22" s="32"/>
      <c r="H22" s="32">
        <v>89</v>
      </c>
      <c r="I22" s="32"/>
      <c r="J22" s="33">
        <v>511.8</v>
      </c>
      <c r="K22" s="34"/>
      <c r="L22" s="35"/>
      <c r="M22" s="35"/>
      <c r="N22" s="35"/>
      <c r="O22" s="32"/>
      <c r="P22" s="27">
        <v>17</v>
      </c>
      <c r="Q22" s="36" t="s">
        <v>49</v>
      </c>
      <c r="R22" s="37" t="s">
        <v>60</v>
      </c>
      <c r="S22" s="30">
        <v>3941.3</v>
      </c>
      <c r="T22" s="30">
        <v>3941.3</v>
      </c>
      <c r="U22" s="23">
        <v>20.35</v>
      </c>
      <c r="V22" s="23">
        <v>21.98</v>
      </c>
      <c r="W22" s="23">
        <f t="shared" si="36"/>
        <v>1001011.3740000001</v>
      </c>
      <c r="X22" s="23">
        <f t="shared" si="1"/>
        <v>927437.1230310522</v>
      </c>
      <c r="Y22" s="23">
        <f t="shared" si="2"/>
        <v>73574.25096894789</v>
      </c>
      <c r="Z22" s="27">
        <v>17</v>
      </c>
      <c r="AA22" s="36" t="s">
        <v>49</v>
      </c>
      <c r="AB22" s="37" t="s">
        <v>60</v>
      </c>
      <c r="AC22" s="24">
        <f t="shared" si="3"/>
        <v>785963.6635856375</v>
      </c>
      <c r="AD22" s="15">
        <f t="shared" si="4"/>
        <v>167880.79314227012</v>
      </c>
      <c r="AE22" s="30">
        <f>1.71*1.078*0.997053</f>
        <v>1.8379475591399999</v>
      </c>
      <c r="AF22" s="15">
        <f t="shared" si="5"/>
        <v>124750.72729212839</v>
      </c>
      <c r="AG22" s="15">
        <f t="shared" si="6"/>
        <v>37674.71965569236</v>
      </c>
      <c r="AH22" s="30">
        <f t="shared" si="0"/>
        <v>162425.44694782075</v>
      </c>
      <c r="AI22" s="15">
        <f t="shared" si="7"/>
        <v>5455.34619444939</v>
      </c>
      <c r="AJ22" s="27">
        <v>17</v>
      </c>
      <c r="AK22" s="36" t="s">
        <v>49</v>
      </c>
      <c r="AL22" s="37" t="s">
        <v>60</v>
      </c>
      <c r="AM22" s="15">
        <f t="shared" si="8"/>
        <v>296888.4576064669</v>
      </c>
      <c r="AN22" s="30">
        <f>(1.026+0.018)*1.003*0.9976247</f>
        <v>1.0446447473604</v>
      </c>
      <c r="AO22" s="15">
        <f t="shared" si="9"/>
        <v>146934.8830120861</v>
      </c>
      <c r="AP22" s="15">
        <f t="shared" si="10"/>
        <v>44374.33468026227</v>
      </c>
      <c r="AQ22" s="25">
        <f t="shared" si="11"/>
        <v>55041.84957073634</v>
      </c>
      <c r="AR22" s="26">
        <f t="shared" si="12"/>
        <v>2036.7138296433868</v>
      </c>
      <c r="AS22" s="27">
        <v>17</v>
      </c>
      <c r="AT22" s="36" t="s">
        <v>49</v>
      </c>
      <c r="AU22" s="37" t="s">
        <v>60</v>
      </c>
      <c r="AV22" s="26">
        <f t="shared" si="13"/>
        <v>3355.6542319242317</v>
      </c>
      <c r="AW22" s="15">
        <f t="shared" si="14"/>
        <v>3355.6542319242317</v>
      </c>
      <c r="AX22" s="26"/>
      <c r="AY22" s="30"/>
      <c r="AZ22" s="23">
        <f t="shared" si="15"/>
        <v>0.210881813464035</v>
      </c>
      <c r="BA22" s="23">
        <f t="shared" si="16"/>
        <v>29560.256979050642</v>
      </c>
      <c r="BB22" s="23">
        <f t="shared" si="17"/>
        <v>8927.197695093391</v>
      </c>
      <c r="BC22" s="61">
        <f t="shared" si="18"/>
        <v>6657.567607670512</v>
      </c>
      <c r="BD22" s="27">
        <v>17</v>
      </c>
      <c r="BE22" s="36" t="s">
        <v>49</v>
      </c>
      <c r="BF22" s="37" t="s">
        <v>60</v>
      </c>
      <c r="BG22" s="15">
        <f t="shared" si="19"/>
        <v>10986.390742766594</v>
      </c>
      <c r="BH22" s="26">
        <f t="shared" si="20"/>
        <v>3511.5566052504514</v>
      </c>
      <c r="BI22" s="30"/>
      <c r="BJ22" s="30"/>
      <c r="BK22" s="30"/>
      <c r="BL22" s="30"/>
      <c r="BM22" s="27">
        <v>17</v>
      </c>
      <c r="BN22" s="36" t="s">
        <v>49</v>
      </c>
      <c r="BO22" s="37" t="s">
        <v>60</v>
      </c>
      <c r="BP22" s="15">
        <f t="shared" si="21"/>
        <v>495.0973989373989</v>
      </c>
      <c r="BQ22" s="30"/>
      <c r="BR22" s="30"/>
      <c r="BS22" s="15">
        <f t="shared" si="22"/>
        <v>3360.9634100161697</v>
      </c>
      <c r="BT22" s="30"/>
      <c r="BU22" s="15">
        <f t="shared" si="23"/>
        <v>3618.7733285625754</v>
      </c>
      <c r="BV22" s="27">
        <v>17</v>
      </c>
      <c r="BW22" s="36" t="s">
        <v>49</v>
      </c>
      <c r="BX22" s="37" t="s">
        <v>60</v>
      </c>
      <c r="BY22" s="18">
        <f t="shared" si="24"/>
        <v>192177.29644982968</v>
      </c>
      <c r="BZ22" s="18">
        <f t="shared" si="25"/>
        <v>0.759174528470526</v>
      </c>
      <c r="CA22" s="15">
        <f t="shared" si="26"/>
        <v>137586.97273563244</v>
      </c>
      <c r="CB22" s="15">
        <f t="shared" si="27"/>
        <v>41551.26567107247</v>
      </c>
      <c r="CC22" s="15">
        <f t="shared" si="28"/>
        <v>13039.058043124774</v>
      </c>
      <c r="CD22" s="15">
        <f t="shared" si="29"/>
        <v>13947.92903984551</v>
      </c>
      <c r="CE22" s="27">
        <v>17</v>
      </c>
      <c r="CF22" s="36" t="s">
        <v>49</v>
      </c>
      <c r="CG22" s="37" t="s">
        <v>60</v>
      </c>
      <c r="CH22" s="15">
        <f t="shared" si="30"/>
        <v>65776.98862284583</v>
      </c>
      <c r="CI22" s="15">
        <f t="shared" si="31"/>
        <v>12653.076363028435</v>
      </c>
      <c r="CJ22" s="15">
        <f t="shared" si="32"/>
        <v>24634.977644658968</v>
      </c>
      <c r="CK22" s="62">
        <f t="shared" si="33"/>
        <v>1017.7539739253355</v>
      </c>
      <c r="CL22" s="67">
        <f t="shared" si="34"/>
        <v>225836.49000000002</v>
      </c>
      <c r="CM22" s="67">
        <f t="shared" si="35"/>
        <v>191386.8559322034</v>
      </c>
      <c r="CN22" s="74"/>
    </row>
    <row r="23" spans="1:92" ht="11.25" customHeight="1">
      <c r="A23" s="27">
        <v>18</v>
      </c>
      <c r="B23" s="28" t="s">
        <v>49</v>
      </c>
      <c r="C23" s="29" t="s">
        <v>61</v>
      </c>
      <c r="D23" s="31">
        <v>1973</v>
      </c>
      <c r="E23" s="32">
        <v>8</v>
      </c>
      <c r="F23" s="32">
        <v>5</v>
      </c>
      <c r="G23" s="32"/>
      <c r="H23" s="32">
        <v>129</v>
      </c>
      <c r="I23" s="32"/>
      <c r="J23" s="33">
        <v>641.1</v>
      </c>
      <c r="K23" s="34">
        <f>778+340</f>
        <v>1118</v>
      </c>
      <c r="L23" s="35">
        <v>182</v>
      </c>
      <c r="M23" s="35">
        <v>570</v>
      </c>
      <c r="N23" s="35">
        <v>3272</v>
      </c>
      <c r="O23" s="32"/>
      <c r="P23" s="27">
        <v>18</v>
      </c>
      <c r="Q23" s="36" t="s">
        <v>49</v>
      </c>
      <c r="R23" s="37" t="s">
        <v>61</v>
      </c>
      <c r="S23" s="30">
        <v>6184.4</v>
      </c>
      <c r="T23" s="30">
        <v>6184.4</v>
      </c>
      <c r="U23" s="23">
        <v>20.35</v>
      </c>
      <c r="V23" s="23">
        <v>21.98</v>
      </c>
      <c r="W23" s="23">
        <f>(S23*U23*6)+(6132.4*V23*6)+52*21.2*6</f>
        <v>1570470.552</v>
      </c>
      <c r="X23" s="23">
        <f t="shared" si="1"/>
        <v>1465481.321973023</v>
      </c>
      <c r="Y23" s="23">
        <f t="shared" si="2"/>
        <v>104989.2300269769</v>
      </c>
      <c r="Z23" s="27">
        <v>18</v>
      </c>
      <c r="AA23" s="36" t="s">
        <v>49</v>
      </c>
      <c r="AB23" s="37" t="s">
        <v>61</v>
      </c>
      <c r="AC23" s="24">
        <f t="shared" si="3"/>
        <v>1241933.3237059517</v>
      </c>
      <c r="AD23" s="15">
        <f t="shared" si="4"/>
        <v>179661.90143295578</v>
      </c>
      <c r="AE23" s="30">
        <f>1.83*1.078*0.997053</f>
        <v>1.9669263352200002</v>
      </c>
      <c r="AF23" s="15">
        <f t="shared" si="5"/>
        <v>133505.16429508477</v>
      </c>
      <c r="AG23" s="15">
        <f t="shared" si="6"/>
        <v>40318.55963153042</v>
      </c>
      <c r="AH23" s="30">
        <f t="shared" si="0"/>
        <v>173823.7239266152</v>
      </c>
      <c r="AI23" s="15">
        <f t="shared" si="7"/>
        <v>5838.177506340576</v>
      </c>
      <c r="AJ23" s="27">
        <v>18</v>
      </c>
      <c r="AK23" s="36" t="s">
        <v>49</v>
      </c>
      <c r="AL23" s="37" t="s">
        <v>61</v>
      </c>
      <c r="AM23" s="15">
        <f t="shared" si="8"/>
        <v>542513.5015160842</v>
      </c>
      <c r="AN23" s="30">
        <f>(2.035+0.02)*1.003*0.9976247</f>
        <v>2.0562691147755</v>
      </c>
      <c r="AO23" s="15">
        <f t="shared" si="9"/>
        <v>289225.27259562927</v>
      </c>
      <c r="AP23" s="15">
        <f t="shared" si="10"/>
        <v>87346.03234476912</v>
      </c>
      <c r="AQ23" s="25">
        <f t="shared" si="11"/>
        <v>86367.6488684601</v>
      </c>
      <c r="AR23" s="26">
        <f t="shared" si="12"/>
        <v>3872.4636994061875</v>
      </c>
      <c r="AS23" s="27">
        <v>18</v>
      </c>
      <c r="AT23" s="36" t="s">
        <v>49</v>
      </c>
      <c r="AU23" s="37" t="s">
        <v>61</v>
      </c>
      <c r="AV23" s="26">
        <f t="shared" si="13"/>
        <v>4863.8134372834365</v>
      </c>
      <c r="AW23" s="15">
        <f t="shared" si="14"/>
        <v>4863.8134372834365</v>
      </c>
      <c r="AX23" s="26"/>
      <c r="AY23" s="30"/>
      <c r="AZ23" s="23">
        <f t="shared" si="15"/>
        <v>0.33090033420114634</v>
      </c>
      <c r="BA23" s="23">
        <f t="shared" si="16"/>
        <v>46383.79551448527</v>
      </c>
      <c r="BB23" s="23">
        <f t="shared" si="17"/>
        <v>14007.90638254778</v>
      </c>
      <c r="BC23" s="61">
        <f t="shared" si="18"/>
        <v>10446.568673503034</v>
      </c>
      <c r="BD23" s="27">
        <v>18</v>
      </c>
      <c r="BE23" s="36" t="s">
        <v>49</v>
      </c>
      <c r="BF23" s="37" t="s">
        <v>61</v>
      </c>
      <c r="BG23" s="15">
        <f t="shared" si="19"/>
        <v>33002.15696350331</v>
      </c>
      <c r="BH23" s="26">
        <f t="shared" si="20"/>
        <v>5510.078062951536</v>
      </c>
      <c r="BI23" s="30"/>
      <c r="BJ23" s="30"/>
      <c r="BK23" s="30"/>
      <c r="BL23" s="30"/>
      <c r="BM23" s="27">
        <v>18</v>
      </c>
      <c r="BN23" s="36" t="s">
        <v>49</v>
      </c>
      <c r="BO23" s="37" t="s">
        <v>61</v>
      </c>
      <c r="BP23" s="15">
        <f t="shared" si="21"/>
        <v>717.6130838530838</v>
      </c>
      <c r="BQ23" s="30"/>
      <c r="BR23" s="30"/>
      <c r="BS23" s="15">
        <f t="shared" si="22"/>
        <v>5273.778223658183</v>
      </c>
      <c r="BT23" s="30">
        <f>23338*100/118*0.8</f>
        <v>15822.372881355932</v>
      </c>
      <c r="BU23" s="15">
        <f t="shared" si="23"/>
        <v>5678.3147116845685</v>
      </c>
      <c r="BV23" s="27">
        <v>18</v>
      </c>
      <c r="BW23" s="36" t="s">
        <v>49</v>
      </c>
      <c r="BX23" s="37" t="s">
        <v>61</v>
      </c>
      <c r="BY23" s="18">
        <f t="shared" si="24"/>
        <v>301550.5726953864</v>
      </c>
      <c r="BZ23" s="18">
        <f t="shared" si="25"/>
        <v>1.1912412031241266</v>
      </c>
      <c r="CA23" s="15">
        <f t="shared" si="26"/>
        <v>215891.42521154066</v>
      </c>
      <c r="CB23" s="15">
        <f t="shared" si="27"/>
        <v>65199.21026467931</v>
      </c>
      <c r="CC23" s="15">
        <f t="shared" si="28"/>
        <v>20459.93721916648</v>
      </c>
      <c r="CD23" s="15">
        <f t="shared" si="29"/>
        <v>21886.07118311739</v>
      </c>
      <c r="CE23" s="27">
        <v>18</v>
      </c>
      <c r="CF23" s="36" t="s">
        <v>49</v>
      </c>
      <c r="CG23" s="37" t="s">
        <v>61</v>
      </c>
      <c r="CH23" s="15">
        <f t="shared" si="30"/>
        <v>103212.44473628695</v>
      </c>
      <c r="CI23" s="15">
        <f t="shared" si="31"/>
        <v>19854.282967425224</v>
      </c>
      <c r="CJ23" s="15">
        <f t="shared" si="32"/>
        <v>38655.40703464058</v>
      </c>
      <c r="CK23" s="62">
        <f t="shared" si="33"/>
        <v>1596.9851765518595</v>
      </c>
      <c r="CL23" s="67">
        <f t="shared" si="34"/>
        <v>354366.12</v>
      </c>
      <c r="CM23" s="67">
        <f t="shared" si="35"/>
        <v>300310.27118644066</v>
      </c>
      <c r="CN23" s="74"/>
    </row>
    <row r="24" spans="1:92" ht="11.25" customHeight="1">
      <c r="A24" s="27">
        <v>19</v>
      </c>
      <c r="B24" s="28" t="s">
        <v>49</v>
      </c>
      <c r="C24" s="29">
        <v>16</v>
      </c>
      <c r="D24" s="31">
        <v>1947</v>
      </c>
      <c r="E24" s="32">
        <v>1</v>
      </c>
      <c r="F24" s="32">
        <v>2</v>
      </c>
      <c r="G24" s="32"/>
      <c r="H24" s="32">
        <v>8</v>
      </c>
      <c r="I24" s="32"/>
      <c r="J24" s="33">
        <v>27</v>
      </c>
      <c r="K24" s="34">
        <v>115</v>
      </c>
      <c r="L24" s="35">
        <v>0</v>
      </c>
      <c r="M24" s="35">
        <v>0</v>
      </c>
      <c r="N24" s="35">
        <v>1133</v>
      </c>
      <c r="O24" s="32"/>
      <c r="P24" s="27">
        <v>19</v>
      </c>
      <c r="Q24" s="36" t="s">
        <v>49</v>
      </c>
      <c r="R24" s="37">
        <v>16</v>
      </c>
      <c r="S24" s="30">
        <v>286.3</v>
      </c>
      <c r="T24" s="30">
        <v>286.3</v>
      </c>
      <c r="U24" s="23">
        <v>13.68</v>
      </c>
      <c r="V24" s="23">
        <v>14.24</v>
      </c>
      <c r="W24" s="23">
        <f t="shared" si="36"/>
        <v>47960.976</v>
      </c>
      <c r="X24" s="23">
        <f t="shared" si="1"/>
        <v>92020.8336361242</v>
      </c>
      <c r="Y24" s="23">
        <f t="shared" si="2"/>
        <v>-44059.857636124194</v>
      </c>
      <c r="Z24" s="27">
        <v>19</v>
      </c>
      <c r="AA24" s="36" t="s">
        <v>49</v>
      </c>
      <c r="AB24" s="37">
        <v>16</v>
      </c>
      <c r="AC24" s="24">
        <f t="shared" si="3"/>
        <v>77983.75731874933</v>
      </c>
      <c r="AD24" s="15">
        <f t="shared" si="4"/>
        <v>19635.18048447604</v>
      </c>
      <c r="AE24" s="30">
        <f>0.2*1.078*0.997053</f>
        <v>0.2149646268</v>
      </c>
      <c r="AF24" s="15">
        <f t="shared" si="5"/>
        <v>14590.728338260631</v>
      </c>
      <c r="AG24" s="15">
        <f t="shared" si="6"/>
        <v>4406.399959730101</v>
      </c>
      <c r="AH24" s="30">
        <f t="shared" si="0"/>
        <v>18997.128297990734</v>
      </c>
      <c r="AI24" s="15">
        <f t="shared" si="7"/>
        <v>638.0521864853088</v>
      </c>
      <c r="AJ24" s="27">
        <v>19</v>
      </c>
      <c r="AK24" s="36" t="s">
        <v>49</v>
      </c>
      <c r="AL24" s="37">
        <v>16</v>
      </c>
      <c r="AM24" s="15">
        <f t="shared" si="8"/>
        <v>32191.810857095723</v>
      </c>
      <c r="AN24" s="30">
        <f>(0.115+0.018)*1.003*0.9976247</f>
        <v>0.1330821373553</v>
      </c>
      <c r="AO24" s="15">
        <f t="shared" si="9"/>
        <v>18718.71593927917</v>
      </c>
      <c r="AP24" s="15">
        <f t="shared" si="10"/>
        <v>5653.052215014255</v>
      </c>
      <c r="AQ24" s="25">
        <f t="shared" si="11"/>
        <v>3998.2953675441645</v>
      </c>
      <c r="AR24" s="26">
        <f t="shared" si="12"/>
        <v>240.73562478191008</v>
      </c>
      <c r="AS24" s="27">
        <v>19</v>
      </c>
      <c r="AT24" s="36" t="s">
        <v>49</v>
      </c>
      <c r="AU24" s="37">
        <v>16</v>
      </c>
      <c r="AV24" s="26">
        <f t="shared" si="13"/>
        <v>301.63184107184105</v>
      </c>
      <c r="AW24" s="15">
        <f t="shared" si="14"/>
        <v>301.63184107184105</v>
      </c>
      <c r="AX24" s="26"/>
      <c r="AY24" s="30"/>
      <c r="AZ24" s="23">
        <f t="shared" si="15"/>
        <v>0.015318667240441789</v>
      </c>
      <c r="BA24" s="23">
        <f t="shared" si="16"/>
        <v>2147.286827468652</v>
      </c>
      <c r="BB24" s="23">
        <f t="shared" si="17"/>
        <v>648.4806282458168</v>
      </c>
      <c r="BC24" s="61">
        <f t="shared" si="18"/>
        <v>483.6124136899164</v>
      </c>
      <c r="BD24" s="27">
        <v>19</v>
      </c>
      <c r="BE24" s="36" t="s">
        <v>49</v>
      </c>
      <c r="BF24" s="37">
        <v>16</v>
      </c>
      <c r="BG24" s="15">
        <f t="shared" si="19"/>
        <v>3622.942942759858</v>
      </c>
      <c r="BH24" s="26">
        <f t="shared" si="20"/>
        <v>255.08300715073813</v>
      </c>
      <c r="BI24" s="30"/>
      <c r="BJ24" s="30"/>
      <c r="BK24" s="30"/>
      <c r="BL24" s="30"/>
      <c r="BM24" s="27">
        <v>19</v>
      </c>
      <c r="BN24" s="36" t="s">
        <v>49</v>
      </c>
      <c r="BO24" s="37">
        <v>16</v>
      </c>
      <c r="BP24" s="15">
        <f t="shared" si="21"/>
        <v>44.50313698313698</v>
      </c>
      <c r="BQ24" s="30">
        <f>19.07*H24*4</f>
        <v>610.24</v>
      </c>
      <c r="BR24" s="30"/>
      <c r="BS24" s="15">
        <f t="shared" si="22"/>
        <v>244.14376583554397</v>
      </c>
      <c r="BT24" s="30">
        <f>3254*100/118*0.8</f>
        <v>2206.101694915254</v>
      </c>
      <c r="BU24" s="15">
        <f t="shared" si="23"/>
        <v>262.8713378751847</v>
      </c>
      <c r="BV24" s="27">
        <v>19</v>
      </c>
      <c r="BW24" s="36" t="s">
        <v>49</v>
      </c>
      <c r="BX24" s="37">
        <v>16</v>
      </c>
      <c r="BY24" s="18">
        <f t="shared" si="24"/>
        <v>13959.95229330075</v>
      </c>
      <c r="BZ24" s="18">
        <f t="shared" si="25"/>
        <v>0.055147202065590435</v>
      </c>
      <c r="CA24" s="15">
        <f t="shared" si="26"/>
        <v>9994.456218560264</v>
      </c>
      <c r="CB24" s="15">
        <f t="shared" si="27"/>
        <v>3018.3257710978733</v>
      </c>
      <c r="CC24" s="15">
        <f t="shared" si="28"/>
        <v>947.170303642611</v>
      </c>
      <c r="CD24" s="15">
        <f t="shared" si="29"/>
        <v>1013.191607872471</v>
      </c>
      <c r="CE24" s="27">
        <v>19</v>
      </c>
      <c r="CF24" s="36" t="s">
        <v>49</v>
      </c>
      <c r="CG24" s="37">
        <v>16</v>
      </c>
      <c r="CH24" s="15">
        <f t="shared" si="30"/>
        <v>4778.106676152732</v>
      </c>
      <c r="CI24" s="15">
        <f t="shared" si="31"/>
        <v>919.132205803933</v>
      </c>
      <c r="CJ24" s="15">
        <f t="shared" si="32"/>
        <v>1789.5095779732226</v>
      </c>
      <c r="CK24" s="62">
        <f t="shared" si="33"/>
        <v>73.9306733145976</v>
      </c>
      <c r="CL24" s="67">
        <f t="shared" si="34"/>
        <v>16404.99</v>
      </c>
      <c r="CM24" s="67">
        <f t="shared" si="35"/>
        <v>13902.533898305086</v>
      </c>
      <c r="CN24" s="74"/>
    </row>
    <row r="25" spans="1:92" ht="11.25" customHeight="1">
      <c r="A25" s="27">
        <v>20</v>
      </c>
      <c r="B25" s="28" t="s">
        <v>49</v>
      </c>
      <c r="C25" s="29">
        <v>17</v>
      </c>
      <c r="D25" s="31">
        <v>1974</v>
      </c>
      <c r="E25" s="32">
        <v>8</v>
      </c>
      <c r="F25" s="32">
        <v>5</v>
      </c>
      <c r="G25" s="32"/>
      <c r="H25" s="32">
        <v>129</v>
      </c>
      <c r="I25" s="32"/>
      <c r="J25" s="33">
        <v>628</v>
      </c>
      <c r="K25" s="34">
        <f>999+477</f>
        <v>1476</v>
      </c>
      <c r="L25" s="35">
        <v>240</v>
      </c>
      <c r="M25" s="35">
        <v>0</v>
      </c>
      <c r="N25" s="35">
        <v>4205</v>
      </c>
      <c r="O25" s="32"/>
      <c r="P25" s="27">
        <v>20</v>
      </c>
      <c r="Q25" s="36" t="s">
        <v>49</v>
      </c>
      <c r="R25" s="37">
        <v>17</v>
      </c>
      <c r="S25" s="30">
        <v>6176.5</v>
      </c>
      <c r="T25" s="30">
        <v>6176.5</v>
      </c>
      <c r="U25" s="23">
        <v>20.35</v>
      </c>
      <c r="V25" s="23">
        <v>21.98</v>
      </c>
      <c r="W25" s="23">
        <f>(S25*U25*6)+(4118.6*V25*6)+2057.9*21.2*6</f>
        <v>1559076.4980000001</v>
      </c>
      <c r="X25" s="23">
        <f t="shared" si="1"/>
        <v>1459214.8321430127</v>
      </c>
      <c r="Y25" s="23">
        <f t="shared" si="2"/>
        <v>99861.66585698747</v>
      </c>
      <c r="Z25" s="27">
        <v>20</v>
      </c>
      <c r="AA25" s="36" t="s">
        <v>49</v>
      </c>
      <c r="AB25" s="37">
        <v>17</v>
      </c>
      <c r="AC25" s="24">
        <f t="shared" si="3"/>
        <v>1236622.7391042481</v>
      </c>
      <c r="AD25" s="15">
        <f t="shared" si="4"/>
        <v>177698.38338450814</v>
      </c>
      <c r="AE25" s="30">
        <f>1.81*1.078*0.997053</f>
        <v>1.94542987254</v>
      </c>
      <c r="AF25" s="15">
        <f t="shared" si="5"/>
        <v>132046.0914612587</v>
      </c>
      <c r="AG25" s="15">
        <f t="shared" si="6"/>
        <v>39877.91963555741</v>
      </c>
      <c r="AH25" s="30">
        <f t="shared" si="0"/>
        <v>171924.0110968161</v>
      </c>
      <c r="AI25" s="15">
        <f t="shared" si="7"/>
        <v>5774.372287692045</v>
      </c>
      <c r="AJ25" s="27">
        <v>20</v>
      </c>
      <c r="AK25" s="36" t="s">
        <v>49</v>
      </c>
      <c r="AL25" s="37">
        <v>17</v>
      </c>
      <c r="AM25" s="15">
        <f t="shared" si="8"/>
        <v>539723.825684059</v>
      </c>
      <c r="AN25" s="30">
        <f>(2.021+0.02)*1.003*0.9976247</f>
        <v>2.0422604687380996</v>
      </c>
      <c r="AO25" s="15">
        <f t="shared" si="9"/>
        <v>287254.88144412613</v>
      </c>
      <c r="AP25" s="15">
        <f t="shared" si="10"/>
        <v>86750.97421687287</v>
      </c>
      <c r="AQ25" s="25">
        <f t="shared" si="11"/>
        <v>86257.32217127674</v>
      </c>
      <c r="AR25" s="26">
        <f t="shared" si="12"/>
        <v>3849.053194184739</v>
      </c>
      <c r="AS25" s="27">
        <v>20</v>
      </c>
      <c r="AT25" s="36" t="s">
        <v>49</v>
      </c>
      <c r="AU25" s="37">
        <v>17</v>
      </c>
      <c r="AV25" s="26">
        <f t="shared" si="13"/>
        <v>4863.8134372834365</v>
      </c>
      <c r="AW25" s="15">
        <f t="shared" si="14"/>
        <v>4863.8134372834365</v>
      </c>
      <c r="AX25" s="26"/>
      <c r="AY25" s="30"/>
      <c r="AZ25" s="23">
        <f t="shared" si="15"/>
        <v>0.33047763957592985</v>
      </c>
      <c r="BA25" s="23">
        <f t="shared" si="16"/>
        <v>46324.54449828897</v>
      </c>
      <c r="BB25" s="23">
        <f t="shared" si="17"/>
        <v>13990.01257548127</v>
      </c>
      <c r="BC25" s="61">
        <f t="shared" si="18"/>
        <v>10433.224146544773</v>
      </c>
      <c r="BD25" s="27">
        <v>20</v>
      </c>
      <c r="BE25" s="36" t="s">
        <v>49</v>
      </c>
      <c r="BF25" s="37">
        <v>17</v>
      </c>
      <c r="BG25" s="15">
        <f t="shared" si="19"/>
        <v>33066.55178880374</v>
      </c>
      <c r="BH25" s="26">
        <f t="shared" si="20"/>
        <v>5503.039446966587</v>
      </c>
      <c r="BI25" s="30"/>
      <c r="BJ25" s="30"/>
      <c r="BK25" s="30"/>
      <c r="BL25" s="30"/>
      <c r="BM25" s="27">
        <v>20</v>
      </c>
      <c r="BN25" s="36" t="s">
        <v>49</v>
      </c>
      <c r="BO25" s="37">
        <v>17</v>
      </c>
      <c r="BP25" s="15">
        <f t="shared" si="21"/>
        <v>717.6130838530838</v>
      </c>
      <c r="BQ25" s="30"/>
      <c r="BR25" s="30"/>
      <c r="BS25" s="15">
        <f t="shared" si="22"/>
        <v>5267.041458900584</v>
      </c>
      <c r="BT25" s="30">
        <f>23464*100/118*0.8</f>
        <v>15907.796610169491</v>
      </c>
      <c r="BU25" s="15">
        <f t="shared" si="23"/>
        <v>5671.061188914</v>
      </c>
      <c r="BV25" s="27">
        <v>20</v>
      </c>
      <c r="BW25" s="36" t="s">
        <v>49</v>
      </c>
      <c r="BX25" s="37">
        <v>17</v>
      </c>
      <c r="BY25" s="18">
        <f t="shared" si="24"/>
        <v>301165.36968065694</v>
      </c>
      <c r="BZ25" s="18">
        <f t="shared" si="25"/>
        <v>1.1897195024733473</v>
      </c>
      <c r="CA25" s="15">
        <f t="shared" si="26"/>
        <v>215615.64384889093</v>
      </c>
      <c r="CB25" s="15">
        <f t="shared" si="27"/>
        <v>65115.924293349686</v>
      </c>
      <c r="CC25" s="15">
        <f t="shared" si="28"/>
        <v>20433.8015384163</v>
      </c>
      <c r="CD25" s="15">
        <f t="shared" si="29"/>
        <v>21858.11374790191</v>
      </c>
      <c r="CE25" s="27">
        <v>20</v>
      </c>
      <c r="CF25" s="36" t="s">
        <v>49</v>
      </c>
      <c r="CG25" s="37">
        <v>17</v>
      </c>
      <c r="CH25" s="15">
        <f t="shared" si="30"/>
        <v>103080.60036764704</v>
      </c>
      <c r="CI25" s="15">
        <f t="shared" si="31"/>
        <v>19828.92095406214</v>
      </c>
      <c r="CJ25" s="15">
        <f t="shared" si="32"/>
        <v>38606.02832117223</v>
      </c>
      <c r="CK25" s="62">
        <f t="shared" si="33"/>
        <v>1594.9451754369964</v>
      </c>
      <c r="CL25" s="67">
        <f t="shared" si="34"/>
        <v>353913.45</v>
      </c>
      <c r="CM25" s="67">
        <f t="shared" si="35"/>
        <v>299926.6525423729</v>
      </c>
      <c r="CN25" s="74"/>
    </row>
    <row r="26" spans="1:92" ht="11.25" customHeight="1">
      <c r="A26" s="27">
        <v>21</v>
      </c>
      <c r="B26" s="28" t="s">
        <v>49</v>
      </c>
      <c r="C26" s="29" t="s">
        <v>62</v>
      </c>
      <c r="D26" s="31">
        <v>1982</v>
      </c>
      <c r="E26" s="32">
        <v>6</v>
      </c>
      <c r="F26" s="32">
        <v>9</v>
      </c>
      <c r="G26" s="32">
        <v>6</v>
      </c>
      <c r="H26" s="32">
        <v>216</v>
      </c>
      <c r="I26" s="32"/>
      <c r="J26" s="41">
        <v>1269.3</v>
      </c>
      <c r="K26" s="34">
        <f>1226+1060</f>
        <v>2286</v>
      </c>
      <c r="L26" s="35"/>
      <c r="M26" s="35">
        <v>9688</v>
      </c>
      <c r="N26" s="35">
        <v>1423</v>
      </c>
      <c r="O26" s="32"/>
      <c r="P26" s="27">
        <v>21</v>
      </c>
      <c r="Q26" s="36" t="s">
        <v>49</v>
      </c>
      <c r="R26" s="37" t="s">
        <v>62</v>
      </c>
      <c r="S26" s="38">
        <v>11164</v>
      </c>
      <c r="T26" s="38">
        <v>11164</v>
      </c>
      <c r="U26" s="23">
        <v>26.31</v>
      </c>
      <c r="V26" s="23">
        <v>27.79</v>
      </c>
      <c r="W26" s="23">
        <f>(11164*26.31*6)+(7407.6*27.79*6)+(3756.4*27.01*6)</f>
        <v>3606254.4479999994</v>
      </c>
      <c r="X26" s="23">
        <f t="shared" si="1"/>
        <v>3511305.758212428</v>
      </c>
      <c r="Y26" s="23">
        <f t="shared" si="2"/>
        <v>94948.68978757132</v>
      </c>
      <c r="Z26" s="27">
        <v>21</v>
      </c>
      <c r="AA26" s="36" t="s">
        <v>49</v>
      </c>
      <c r="AB26" s="37" t="s">
        <v>62</v>
      </c>
      <c r="AC26" s="24">
        <f t="shared" si="3"/>
        <v>2975682.8459427357</v>
      </c>
      <c r="AD26" s="15">
        <f t="shared" si="4"/>
        <v>616544.6672125477</v>
      </c>
      <c r="AE26" s="30">
        <f>6.28*1.078*0.997053</f>
        <v>6.74988928152</v>
      </c>
      <c r="AF26" s="15">
        <f t="shared" si="5"/>
        <v>458148.8698213838</v>
      </c>
      <c r="AG26" s="15">
        <f t="shared" si="6"/>
        <v>138360.95873552517</v>
      </c>
      <c r="AH26" s="30">
        <f t="shared" si="0"/>
        <v>596509.828556909</v>
      </c>
      <c r="AI26" s="15">
        <f t="shared" si="7"/>
        <v>20034.838655638694</v>
      </c>
      <c r="AJ26" s="27">
        <v>21</v>
      </c>
      <c r="AK26" s="36" t="s">
        <v>49</v>
      </c>
      <c r="AL26" s="37" t="s">
        <v>62</v>
      </c>
      <c r="AM26" s="15">
        <f t="shared" si="8"/>
        <v>745128.9111204864</v>
      </c>
      <c r="AN26" s="30">
        <f>(2.417+0.02)*1.003*0.9976247</f>
        <v>2.4385050280816993</v>
      </c>
      <c r="AO26" s="15">
        <f t="shared" si="9"/>
        <v>342988.8025866415</v>
      </c>
      <c r="AP26" s="15">
        <f t="shared" si="10"/>
        <v>103582.61840593786</v>
      </c>
      <c r="AQ26" s="25">
        <f t="shared" si="11"/>
        <v>155909.77814622092</v>
      </c>
      <c r="AR26" s="26">
        <f t="shared" si="12"/>
        <v>4924.73975779521</v>
      </c>
      <c r="AS26" s="27">
        <v>21</v>
      </c>
      <c r="AT26" s="36" t="s">
        <v>49</v>
      </c>
      <c r="AU26" s="37" t="s">
        <v>62</v>
      </c>
      <c r="AV26" s="26">
        <f t="shared" si="13"/>
        <v>9846.629708939709</v>
      </c>
      <c r="AW26" s="15">
        <f t="shared" si="14"/>
        <v>8144.059708939709</v>
      </c>
      <c r="AX26" s="26">
        <f>283.8*G26-0.23</f>
        <v>1702.5700000000002</v>
      </c>
      <c r="AY26" s="30"/>
      <c r="AZ26" s="23">
        <f t="shared" si="15"/>
        <v>0.5973370627743351</v>
      </c>
      <c r="BA26" s="23">
        <f t="shared" si="16"/>
        <v>83731.43605260228</v>
      </c>
      <c r="BB26" s="23">
        <f t="shared" si="17"/>
        <v>25286.89393550925</v>
      </c>
      <c r="BC26" s="61">
        <f t="shared" si="18"/>
        <v>18858.01252683977</v>
      </c>
      <c r="BD26" s="27">
        <v>21</v>
      </c>
      <c r="BE26" s="36" t="s">
        <v>49</v>
      </c>
      <c r="BF26" s="37" t="s">
        <v>62</v>
      </c>
      <c r="BG26" s="15">
        <f t="shared" si="19"/>
        <v>735323.9712204621</v>
      </c>
      <c r="BH26" s="26">
        <f t="shared" si="20"/>
        <v>9946.722639995949</v>
      </c>
      <c r="BI26" s="30">
        <f>28000/37*6</f>
        <v>4540.540540540541</v>
      </c>
      <c r="BJ26" s="30">
        <f>154631.87/37*6</f>
        <v>25075.438378378378</v>
      </c>
      <c r="BK26" s="30">
        <f>40879.49/37*6</f>
        <v>6629.106486486486</v>
      </c>
      <c r="BL26" s="30">
        <f>4120320/37*6</f>
        <v>668160</v>
      </c>
      <c r="BM26" s="27">
        <v>21</v>
      </c>
      <c r="BN26" s="36" t="s">
        <v>49</v>
      </c>
      <c r="BO26" s="37" t="s">
        <v>62</v>
      </c>
      <c r="BP26" s="15">
        <f t="shared" si="21"/>
        <v>1201.5846985446985</v>
      </c>
      <c r="BQ26" s="30"/>
      <c r="BR26" s="30"/>
      <c r="BS26" s="15">
        <f t="shared" si="22"/>
        <v>9520.157184030782</v>
      </c>
      <c r="BT26" s="30"/>
      <c r="BU26" s="15">
        <f t="shared" si="23"/>
        <v>10250.421292485371</v>
      </c>
      <c r="BV26" s="27">
        <v>21</v>
      </c>
      <c r="BW26" s="36" t="s">
        <v>49</v>
      </c>
      <c r="BX26" s="37" t="s">
        <v>62</v>
      </c>
      <c r="BY26" s="18">
        <f t="shared" si="24"/>
        <v>544355.2476507494</v>
      </c>
      <c r="BZ26" s="18">
        <f t="shared" si="25"/>
        <v>2.150413425987606</v>
      </c>
      <c r="CA26" s="15">
        <f t="shared" si="26"/>
        <v>389724.4471673307</v>
      </c>
      <c r="CB26" s="15">
        <f t="shared" si="27"/>
        <v>117696.78277518916</v>
      </c>
      <c r="CC26" s="15">
        <f t="shared" si="28"/>
        <v>36934.01770822951</v>
      </c>
      <c r="CD26" s="15">
        <f t="shared" si="29"/>
        <v>39508.45655008126</v>
      </c>
      <c r="CE26" s="27">
        <v>21</v>
      </c>
      <c r="CF26" s="36" t="s">
        <v>49</v>
      </c>
      <c r="CG26" s="37" t="s">
        <v>62</v>
      </c>
      <c r="CH26" s="15">
        <f t="shared" si="30"/>
        <v>186317.78879695808</v>
      </c>
      <c r="CI26" s="15">
        <f t="shared" si="31"/>
        <v>35840.698377908164</v>
      </c>
      <c r="CJ26" s="15">
        <f t="shared" si="32"/>
        <v>69780.2477418549</v>
      </c>
      <c r="CK26" s="62">
        <f t="shared" si="33"/>
        <v>2882.857271687627</v>
      </c>
      <c r="CL26" s="67">
        <f t="shared" si="34"/>
        <v>639697.2</v>
      </c>
      <c r="CM26" s="67">
        <f t="shared" si="35"/>
        <v>542116.2711864406</v>
      </c>
      <c r="CN26" s="74"/>
    </row>
    <row r="27" spans="1:92" ht="11.25" customHeight="1">
      <c r="A27" s="27">
        <v>22</v>
      </c>
      <c r="B27" s="28" t="s">
        <v>49</v>
      </c>
      <c r="C27" s="29" t="s">
        <v>63</v>
      </c>
      <c r="D27" s="31">
        <v>1959</v>
      </c>
      <c r="E27" s="32">
        <v>4</v>
      </c>
      <c r="F27" s="32">
        <v>3</v>
      </c>
      <c r="G27" s="32"/>
      <c r="H27" s="32">
        <v>30</v>
      </c>
      <c r="I27" s="32"/>
      <c r="J27" s="33">
        <v>202.6</v>
      </c>
      <c r="K27" s="34">
        <f>362+226</f>
        <v>588</v>
      </c>
      <c r="L27" s="35">
        <v>0</v>
      </c>
      <c r="M27" s="35">
        <v>0</v>
      </c>
      <c r="N27" s="35">
        <v>2317</v>
      </c>
      <c r="O27" s="32"/>
      <c r="P27" s="27">
        <v>22</v>
      </c>
      <c r="Q27" s="36" t="s">
        <v>49</v>
      </c>
      <c r="R27" s="37" t="s">
        <v>63</v>
      </c>
      <c r="S27" s="30">
        <v>1906.2</v>
      </c>
      <c r="T27" s="30">
        <v>1906.2</v>
      </c>
      <c r="U27" s="23">
        <v>20.35</v>
      </c>
      <c r="V27" s="23">
        <v>21.98</v>
      </c>
      <c r="W27" s="23">
        <f>(S27*U27*6)+(392.4*V27*6)+1513.8*21.2*6</f>
        <v>477052.092</v>
      </c>
      <c r="X27" s="23">
        <f t="shared" si="1"/>
        <v>463153.997610109</v>
      </c>
      <c r="Y27" s="23">
        <f t="shared" si="2"/>
        <v>13898.09438989102</v>
      </c>
      <c r="Z27" s="27">
        <v>22</v>
      </c>
      <c r="AA27" s="36" t="s">
        <v>49</v>
      </c>
      <c r="AB27" s="37" t="s">
        <v>63</v>
      </c>
      <c r="AC27" s="24">
        <f t="shared" si="3"/>
        <v>392503.38780517713</v>
      </c>
      <c r="AD27" s="15">
        <f t="shared" si="4"/>
        <v>68723.13169566613</v>
      </c>
      <c r="AE27" s="30">
        <f>0.7*1.078*0.997053</f>
        <v>0.7523761938</v>
      </c>
      <c r="AF27" s="15">
        <f t="shared" si="5"/>
        <v>51067.549183912204</v>
      </c>
      <c r="AG27" s="15">
        <f t="shared" si="6"/>
        <v>15422.399859055351</v>
      </c>
      <c r="AH27" s="30">
        <f t="shared" si="0"/>
        <v>66489.94904296755</v>
      </c>
      <c r="AI27" s="15">
        <f t="shared" si="7"/>
        <v>2233.1826526985806</v>
      </c>
      <c r="AJ27" s="27">
        <v>22</v>
      </c>
      <c r="AK27" s="36" t="s">
        <v>49</v>
      </c>
      <c r="AL27" s="37" t="s">
        <v>63</v>
      </c>
      <c r="AM27" s="15">
        <f t="shared" si="8"/>
        <v>166219.5383743566</v>
      </c>
      <c r="AN27" s="30">
        <f>(0.612+0.018)*1.003*0.9976247</f>
        <v>0.630389071683</v>
      </c>
      <c r="AO27" s="15">
        <f t="shared" si="9"/>
        <v>88667.60181763816</v>
      </c>
      <c r="AP27" s="15">
        <f t="shared" si="10"/>
        <v>26777.615755330677</v>
      </c>
      <c r="AQ27" s="25">
        <f t="shared" si="11"/>
        <v>26620.854452017764</v>
      </c>
      <c r="AR27" s="26">
        <f t="shared" si="12"/>
        <v>1188.0685413735287</v>
      </c>
      <c r="AS27" s="27">
        <v>22</v>
      </c>
      <c r="AT27" s="36" t="s">
        <v>49</v>
      </c>
      <c r="AU27" s="37" t="s">
        <v>63</v>
      </c>
      <c r="AV27" s="26">
        <f t="shared" si="13"/>
        <v>1131.1194040194039</v>
      </c>
      <c r="AW27" s="15">
        <f t="shared" si="14"/>
        <v>1131.1194040194039</v>
      </c>
      <c r="AX27" s="26"/>
      <c r="AY27" s="30"/>
      <c r="AZ27" s="23">
        <f t="shared" si="15"/>
        <v>0.10199246766933336</v>
      </c>
      <c r="BA27" s="23">
        <f t="shared" si="16"/>
        <v>14296.745199164321</v>
      </c>
      <c r="BB27" s="23">
        <f t="shared" si="17"/>
        <v>4317.617092428139</v>
      </c>
      <c r="BC27" s="61">
        <f t="shared" si="18"/>
        <v>3219.916112384627</v>
      </c>
      <c r="BD27" s="27">
        <v>22</v>
      </c>
      <c r="BE27" s="36" t="s">
        <v>49</v>
      </c>
      <c r="BF27" s="37" t="s">
        <v>63</v>
      </c>
      <c r="BG27" s="15">
        <f t="shared" si="19"/>
        <v>7529.3748493456105</v>
      </c>
      <c r="BH27" s="26">
        <f t="shared" si="20"/>
        <v>1698.3556696847259</v>
      </c>
      <c r="BI27" s="30"/>
      <c r="BJ27" s="30"/>
      <c r="BK27" s="30"/>
      <c r="BL27" s="30"/>
      <c r="BM27" s="27">
        <v>22</v>
      </c>
      <c r="BN27" s="36" t="s">
        <v>49</v>
      </c>
      <c r="BO27" s="37" t="s">
        <v>63</v>
      </c>
      <c r="BP27" s="15">
        <f t="shared" si="21"/>
        <v>166.8867636867637</v>
      </c>
      <c r="BQ27" s="30">
        <f>19.07*H27*4</f>
        <v>2288.4</v>
      </c>
      <c r="BR27" s="30"/>
      <c r="BS27" s="15">
        <f t="shared" si="22"/>
        <v>1625.5216431565277</v>
      </c>
      <c r="BT27" s="30"/>
      <c r="BU27" s="15">
        <f t="shared" si="23"/>
        <v>1750.2107728175936</v>
      </c>
      <c r="BV27" s="27">
        <v>22</v>
      </c>
      <c r="BW27" s="36" t="s">
        <v>49</v>
      </c>
      <c r="BX27" s="37" t="s">
        <v>63</v>
      </c>
      <c r="BY27" s="18">
        <f t="shared" si="24"/>
        <v>92946.07426297551</v>
      </c>
      <c r="BZ27" s="18">
        <f t="shared" si="25"/>
        <v>0.36717288360960004</v>
      </c>
      <c r="CA27" s="15">
        <f t="shared" si="26"/>
        <v>66543.59917505964</v>
      </c>
      <c r="CB27" s="15">
        <f t="shared" si="27"/>
        <v>20096.16690487868</v>
      </c>
      <c r="CC27" s="15">
        <f t="shared" si="28"/>
        <v>6306.308183037182</v>
      </c>
      <c r="CD27" s="15">
        <f t="shared" si="29"/>
        <v>6745.881393386322</v>
      </c>
      <c r="CE27" s="27">
        <v>22</v>
      </c>
      <c r="CF27" s="36" t="s">
        <v>49</v>
      </c>
      <c r="CG27" s="37" t="s">
        <v>63</v>
      </c>
      <c r="CH27" s="15">
        <f t="shared" si="30"/>
        <v>31812.877911569463</v>
      </c>
      <c r="CI27" s="15">
        <f t="shared" si="31"/>
        <v>6119.629097811586</v>
      </c>
      <c r="CJ27" s="15">
        <f t="shared" si="32"/>
        <v>11914.64602700858</v>
      </c>
      <c r="CK27" s="62">
        <f t="shared" si="33"/>
        <v>492.2341930572335</v>
      </c>
      <c r="CL27" s="67">
        <f t="shared" si="34"/>
        <v>109225.26</v>
      </c>
      <c r="CM27" s="67">
        <f t="shared" si="35"/>
        <v>92563.77966101695</v>
      </c>
      <c r="CN27" s="74"/>
    </row>
    <row r="28" spans="1:92" ht="11.25" customHeight="1">
      <c r="A28" s="27">
        <v>23</v>
      </c>
      <c r="B28" s="28" t="s">
        <v>49</v>
      </c>
      <c r="C28" s="29">
        <v>24</v>
      </c>
      <c r="D28" s="31">
        <v>1953</v>
      </c>
      <c r="E28" s="32">
        <v>2</v>
      </c>
      <c r="F28" s="32">
        <v>2</v>
      </c>
      <c r="G28" s="32"/>
      <c r="H28" s="32">
        <v>8</v>
      </c>
      <c r="I28" s="32"/>
      <c r="J28" s="33">
        <v>60.8</v>
      </c>
      <c r="K28" s="34">
        <f>77+136+108</f>
        <v>321</v>
      </c>
      <c r="L28" s="35">
        <v>0</v>
      </c>
      <c r="M28" s="35">
        <v>0</v>
      </c>
      <c r="N28" s="35">
        <v>695</v>
      </c>
      <c r="O28" s="32"/>
      <c r="P28" s="27">
        <v>23</v>
      </c>
      <c r="Q28" s="36" t="s">
        <v>49</v>
      </c>
      <c r="R28" s="37">
        <v>24</v>
      </c>
      <c r="S28" s="30">
        <v>371.8</v>
      </c>
      <c r="T28" s="30">
        <v>314.5</v>
      </c>
      <c r="U28" s="23">
        <v>13.68</v>
      </c>
      <c r="V28" s="23">
        <v>14.24</v>
      </c>
      <c r="W28" s="23">
        <f t="shared" si="36"/>
        <v>57388.224</v>
      </c>
      <c r="X28" s="23">
        <f t="shared" si="1"/>
        <v>106335.86860186144</v>
      </c>
      <c r="Y28" s="23">
        <f t="shared" si="2"/>
        <v>-48947.64460186144</v>
      </c>
      <c r="Z28" s="27">
        <v>23</v>
      </c>
      <c r="AA28" s="36" t="s">
        <v>49</v>
      </c>
      <c r="AB28" s="37">
        <v>24</v>
      </c>
      <c r="AC28" s="24">
        <f t="shared" si="3"/>
        <v>90115.14288293343</v>
      </c>
      <c r="AD28" s="15">
        <f t="shared" si="4"/>
        <v>24543.975605595053</v>
      </c>
      <c r="AE28" s="30">
        <f>0.25*1.078*0.997053</f>
        <v>0.2687057835</v>
      </c>
      <c r="AF28" s="15">
        <f t="shared" si="5"/>
        <v>18238.41042282579</v>
      </c>
      <c r="AG28" s="15">
        <f t="shared" si="6"/>
        <v>5507.999949662626</v>
      </c>
      <c r="AH28" s="30">
        <f t="shared" si="0"/>
        <v>23746.410372488415</v>
      </c>
      <c r="AI28" s="15">
        <f t="shared" si="7"/>
        <v>797.565233106636</v>
      </c>
      <c r="AJ28" s="27">
        <v>23</v>
      </c>
      <c r="AK28" s="36" t="s">
        <v>49</v>
      </c>
      <c r="AL28" s="37">
        <v>24</v>
      </c>
      <c r="AM28" s="15">
        <f t="shared" si="8"/>
        <v>39936.13951517082</v>
      </c>
      <c r="AN28" s="30">
        <f>(0.153+0.018)*1.003*0.9976247</f>
        <v>0.1711056051711</v>
      </c>
      <c r="AO28" s="15">
        <f t="shared" si="9"/>
        <v>24066.920493358928</v>
      </c>
      <c r="AP28" s="15">
        <f t="shared" si="10"/>
        <v>7268.209990732612</v>
      </c>
      <c r="AQ28" s="25">
        <f t="shared" si="11"/>
        <v>4392.119780274676</v>
      </c>
      <c r="AR28" s="26">
        <f t="shared" si="12"/>
        <v>304.86492308352325</v>
      </c>
      <c r="AS28" s="27">
        <v>23</v>
      </c>
      <c r="AT28" s="36" t="s">
        <v>49</v>
      </c>
      <c r="AU28" s="37">
        <v>24</v>
      </c>
      <c r="AV28" s="26">
        <f t="shared" si="13"/>
        <v>301.63184107184105</v>
      </c>
      <c r="AW28" s="15">
        <f t="shared" si="14"/>
        <v>301.63184107184105</v>
      </c>
      <c r="AX28" s="26"/>
      <c r="AY28" s="30"/>
      <c r="AZ28" s="23">
        <f t="shared" si="15"/>
        <v>0.016827526535518486</v>
      </c>
      <c r="BA28" s="23">
        <f t="shared" si="16"/>
        <v>2358.7904549035666</v>
      </c>
      <c r="BB28" s="23">
        <f t="shared" si="17"/>
        <v>712.3547243566518</v>
      </c>
      <c r="BC28" s="61">
        <f t="shared" si="18"/>
        <v>531.2473073890279</v>
      </c>
      <c r="BD28" s="27">
        <v>23</v>
      </c>
      <c r="BE28" s="36" t="s">
        <v>49</v>
      </c>
      <c r="BF28" s="37">
        <v>24</v>
      </c>
      <c r="BG28" s="15">
        <f t="shared" si="19"/>
        <v>881.6664477268719</v>
      </c>
      <c r="BH28" s="26">
        <f t="shared" si="20"/>
        <v>280.208193324859</v>
      </c>
      <c r="BI28" s="30"/>
      <c r="BJ28" s="30"/>
      <c r="BK28" s="30"/>
      <c r="BL28" s="30"/>
      <c r="BM28" s="27">
        <v>23</v>
      </c>
      <c r="BN28" s="36" t="s">
        <v>49</v>
      </c>
      <c r="BO28" s="37">
        <v>24</v>
      </c>
      <c r="BP28" s="15">
        <f t="shared" si="21"/>
        <v>44.50313698313698</v>
      </c>
      <c r="BQ28" s="30"/>
      <c r="BR28" s="30"/>
      <c r="BS28" s="15">
        <f t="shared" si="22"/>
        <v>268.1914577550771</v>
      </c>
      <c r="BT28" s="30"/>
      <c r="BU28" s="15">
        <f t="shared" si="23"/>
        <v>288.76365966379876</v>
      </c>
      <c r="BV28" s="27">
        <v>23</v>
      </c>
      <c r="BW28" s="36" t="s">
        <v>49</v>
      </c>
      <c r="BX28" s="37">
        <v>24</v>
      </c>
      <c r="BY28" s="18">
        <f t="shared" si="24"/>
        <v>15334.980776259468</v>
      </c>
      <c r="BZ28" s="18">
        <f t="shared" si="25"/>
        <v>0.06057909552786655</v>
      </c>
      <c r="CA28" s="15">
        <f t="shared" si="26"/>
        <v>10978.890956120165</v>
      </c>
      <c r="CB28" s="15">
        <f t="shared" si="27"/>
        <v>3315.625061160605</v>
      </c>
      <c r="CC28" s="15">
        <f t="shared" si="28"/>
        <v>1040.4647589786978</v>
      </c>
      <c r="CD28" s="15">
        <f t="shared" si="29"/>
        <v>1112.9890348441918</v>
      </c>
      <c r="CE28" s="27">
        <v>23</v>
      </c>
      <c r="CF28" s="36" t="s">
        <v>49</v>
      </c>
      <c r="CG28" s="37">
        <v>24</v>
      </c>
      <c r="CH28" s="15">
        <f t="shared" si="30"/>
        <v>5248.741004715453</v>
      </c>
      <c r="CI28" s="15">
        <f t="shared" si="31"/>
        <v>1009.6649623658292</v>
      </c>
      <c r="CJ28" s="15">
        <f t="shared" si="32"/>
        <v>1965.7728336450523</v>
      </c>
      <c r="CK28" s="62">
        <f t="shared" si="33"/>
        <v>81.2127026106914</v>
      </c>
      <c r="CL28" s="67">
        <f t="shared" si="34"/>
        <v>19622.958000000002</v>
      </c>
      <c r="CM28" s="67">
        <f t="shared" si="35"/>
        <v>16629.625423728816</v>
      </c>
      <c r="CN28" s="74"/>
    </row>
    <row r="29" spans="1:92" ht="11.25" customHeight="1">
      <c r="A29" s="27">
        <v>24</v>
      </c>
      <c r="B29" s="28" t="s">
        <v>49</v>
      </c>
      <c r="C29" s="29">
        <v>26</v>
      </c>
      <c r="D29" s="31">
        <v>1953</v>
      </c>
      <c r="E29" s="32">
        <v>2</v>
      </c>
      <c r="F29" s="32">
        <v>2</v>
      </c>
      <c r="G29" s="32"/>
      <c r="H29" s="32">
        <v>8</v>
      </c>
      <c r="I29" s="32"/>
      <c r="J29" s="33">
        <v>60.8</v>
      </c>
      <c r="K29" s="34">
        <f>77+159+107</f>
        <v>343</v>
      </c>
      <c r="L29" s="35">
        <v>0</v>
      </c>
      <c r="M29" s="35">
        <v>0</v>
      </c>
      <c r="N29" s="35">
        <v>674</v>
      </c>
      <c r="O29" s="32"/>
      <c r="P29" s="27">
        <v>24</v>
      </c>
      <c r="Q29" s="36" t="s">
        <v>49</v>
      </c>
      <c r="R29" s="37">
        <v>26</v>
      </c>
      <c r="S29" s="30">
        <v>353.2</v>
      </c>
      <c r="T29" s="30">
        <v>241.1</v>
      </c>
      <c r="U29" s="23">
        <v>13.68</v>
      </c>
      <c r="V29" s="23">
        <v>14.24</v>
      </c>
      <c r="W29" s="23">
        <f t="shared" si="36"/>
        <v>49590.240000000005</v>
      </c>
      <c r="X29" s="23">
        <f t="shared" si="1"/>
        <v>97297.31672398125</v>
      </c>
      <c r="Y29" s="23">
        <f t="shared" si="2"/>
        <v>-47707.07672398124</v>
      </c>
      <c r="Z29" s="27">
        <v>24</v>
      </c>
      <c r="AA29" s="36" t="s">
        <v>49</v>
      </c>
      <c r="AB29" s="37">
        <v>26</v>
      </c>
      <c r="AC29" s="24">
        <f t="shared" si="3"/>
        <v>82455.35315591631</v>
      </c>
      <c r="AD29" s="15">
        <f t="shared" si="4"/>
        <v>24543.975605595053</v>
      </c>
      <c r="AE29" s="30">
        <f>0.25*1.078*0.997053</f>
        <v>0.2687057835</v>
      </c>
      <c r="AF29" s="15">
        <f t="shared" si="5"/>
        <v>18238.41042282579</v>
      </c>
      <c r="AG29" s="15">
        <f t="shared" si="6"/>
        <v>5507.999949662626</v>
      </c>
      <c r="AH29" s="30">
        <f t="shared" si="0"/>
        <v>23746.410372488415</v>
      </c>
      <c r="AI29" s="15">
        <f t="shared" si="7"/>
        <v>797.565233106636</v>
      </c>
      <c r="AJ29" s="27">
        <v>24</v>
      </c>
      <c r="AK29" s="36" t="s">
        <v>49</v>
      </c>
      <c r="AL29" s="37">
        <v>26</v>
      </c>
      <c r="AM29" s="15">
        <f t="shared" si="8"/>
        <v>38248.82834932552</v>
      </c>
      <c r="AN29" s="30">
        <f>(0.154+0.018)*1.003*0.9976247</f>
        <v>0.1721062227452</v>
      </c>
      <c r="AO29" s="15">
        <f t="shared" si="9"/>
        <v>24207.66271846629</v>
      </c>
      <c r="AP29" s="15">
        <f t="shared" si="10"/>
        <v>7310.714142725201</v>
      </c>
      <c r="AQ29" s="25">
        <f t="shared" si="11"/>
        <v>3367.0590747988053</v>
      </c>
      <c r="AR29" s="26">
        <f t="shared" si="12"/>
        <v>300.11723830112055</v>
      </c>
      <c r="AS29" s="27">
        <v>24</v>
      </c>
      <c r="AT29" s="36" t="s">
        <v>49</v>
      </c>
      <c r="AU29" s="37">
        <v>26</v>
      </c>
      <c r="AV29" s="26">
        <f t="shared" si="13"/>
        <v>301.63184107184105</v>
      </c>
      <c r="AW29" s="15">
        <f t="shared" si="14"/>
        <v>301.63184107184105</v>
      </c>
      <c r="AX29" s="26"/>
      <c r="AY29" s="30"/>
      <c r="AZ29" s="23">
        <f t="shared" si="15"/>
        <v>0.012900211916418146</v>
      </c>
      <c r="BA29" s="23">
        <f t="shared" si="16"/>
        <v>1808.2810132821937</v>
      </c>
      <c r="BB29" s="23">
        <f t="shared" si="17"/>
        <v>546.1008713589467</v>
      </c>
      <c r="BC29" s="61">
        <f t="shared" si="18"/>
        <v>407.26144932112766</v>
      </c>
      <c r="BD29" s="27">
        <v>24</v>
      </c>
      <c r="BE29" s="36" t="s">
        <v>49</v>
      </c>
      <c r="BF29" s="37">
        <v>26</v>
      </c>
      <c r="BG29" s="15">
        <f t="shared" si="19"/>
        <v>686.2839771113229</v>
      </c>
      <c r="BH29" s="26">
        <f t="shared" si="20"/>
        <v>214.81143214824644</v>
      </c>
      <c r="BI29" s="30"/>
      <c r="BJ29" s="30"/>
      <c r="BK29" s="30"/>
      <c r="BL29" s="30"/>
      <c r="BM29" s="27">
        <v>24</v>
      </c>
      <c r="BN29" s="36" t="s">
        <v>49</v>
      </c>
      <c r="BO29" s="37">
        <v>26</v>
      </c>
      <c r="BP29" s="15">
        <f t="shared" si="21"/>
        <v>44.50313698313698</v>
      </c>
      <c r="BQ29" s="30"/>
      <c r="BR29" s="30"/>
      <c r="BS29" s="15">
        <f t="shared" si="22"/>
        <v>205.59923836168232</v>
      </c>
      <c r="BT29" s="30"/>
      <c r="BU29" s="15">
        <f t="shared" si="23"/>
        <v>221.37016961825717</v>
      </c>
      <c r="BV29" s="27">
        <v>24</v>
      </c>
      <c r="BW29" s="36" t="s">
        <v>49</v>
      </c>
      <c r="BX29" s="37">
        <v>26</v>
      </c>
      <c r="BY29" s="18">
        <f t="shared" si="24"/>
        <v>11756.00593054422</v>
      </c>
      <c r="BZ29" s="18">
        <f t="shared" si="25"/>
        <v>0.04644076289910532</v>
      </c>
      <c r="CA29" s="15">
        <f t="shared" si="26"/>
        <v>8416.567915804679</v>
      </c>
      <c r="CB29" s="15">
        <f t="shared" si="27"/>
        <v>2541.8035047561903</v>
      </c>
      <c r="CC29" s="15">
        <f t="shared" si="28"/>
        <v>797.6345099833514</v>
      </c>
      <c r="CD29" s="15">
        <f t="shared" si="29"/>
        <v>853.2326114497126</v>
      </c>
      <c r="CE29" s="27">
        <v>24</v>
      </c>
      <c r="CF29" s="36" t="s">
        <v>49</v>
      </c>
      <c r="CG29" s="37">
        <v>26</v>
      </c>
      <c r="CH29" s="15">
        <f t="shared" si="30"/>
        <v>4023.7566176053915</v>
      </c>
      <c r="CI29" s="15">
        <f t="shared" si="31"/>
        <v>774.0229647898296</v>
      </c>
      <c r="CJ29" s="15">
        <f t="shared" si="32"/>
        <v>1506.988331293552</v>
      </c>
      <c r="CK29" s="62">
        <f t="shared" si="33"/>
        <v>62.25876820170968</v>
      </c>
      <c r="CL29" s="67">
        <f t="shared" si="34"/>
        <v>16949.345999999998</v>
      </c>
      <c r="CM29" s="67">
        <f t="shared" si="35"/>
        <v>14363.85254237288</v>
      </c>
      <c r="CN29" s="74"/>
    </row>
    <row r="30" spans="1:92" ht="11.25" customHeight="1">
      <c r="A30" s="27">
        <v>25</v>
      </c>
      <c r="B30" s="27" t="s">
        <v>64</v>
      </c>
      <c r="C30" s="29">
        <v>15</v>
      </c>
      <c r="D30" s="31">
        <v>1960</v>
      </c>
      <c r="E30" s="32">
        <v>3</v>
      </c>
      <c r="F30" s="32">
        <v>4</v>
      </c>
      <c r="G30" s="32"/>
      <c r="H30" s="32">
        <v>48</v>
      </c>
      <c r="I30" s="32"/>
      <c r="J30" s="33">
        <v>172.1</v>
      </c>
      <c r="K30" s="34">
        <v>98</v>
      </c>
      <c r="L30" s="35">
        <v>1498</v>
      </c>
      <c r="M30" s="35">
        <v>141</v>
      </c>
      <c r="N30" s="35">
        <v>817</v>
      </c>
      <c r="O30" s="32"/>
      <c r="P30" s="27">
        <v>25</v>
      </c>
      <c r="Q30" s="43" t="s">
        <v>64</v>
      </c>
      <c r="R30" s="37">
        <v>15</v>
      </c>
      <c r="S30" s="79">
        <v>2035.8</v>
      </c>
      <c r="T30" s="79">
        <v>2035.8</v>
      </c>
      <c r="U30" s="23">
        <v>20.35</v>
      </c>
      <c r="V30" s="23">
        <v>21.98</v>
      </c>
      <c r="W30" s="23">
        <f>(S30*U30*6)+(1977.57*V30*6)+(58.23*21.2*6)</f>
        <v>516779.9676</v>
      </c>
      <c r="X30" s="23">
        <f t="shared" si="1"/>
        <v>525043.3222074937</v>
      </c>
      <c r="Y30" s="23">
        <f t="shared" si="2"/>
        <v>-8263.354607493733</v>
      </c>
      <c r="Z30" s="27">
        <v>25</v>
      </c>
      <c r="AA30" s="43" t="s">
        <v>64</v>
      </c>
      <c r="AB30" s="37">
        <v>15</v>
      </c>
      <c r="AC30" s="24">
        <f t="shared" si="3"/>
        <v>444951.9679724523</v>
      </c>
      <c r="AD30" s="15">
        <f t="shared" si="4"/>
        <v>91303.58925281362</v>
      </c>
      <c r="AE30" s="30">
        <f>0.93*1.078*0.997053</f>
        <v>0.9995855146200002</v>
      </c>
      <c r="AF30" s="15">
        <f t="shared" si="5"/>
        <v>67846.88677291195</v>
      </c>
      <c r="AG30" s="15">
        <f t="shared" si="6"/>
        <v>20489.759812744975</v>
      </c>
      <c r="AH30" s="30">
        <f t="shared" si="0"/>
        <v>88336.64658565693</v>
      </c>
      <c r="AI30" s="15">
        <f t="shared" si="7"/>
        <v>2966.9426671566866</v>
      </c>
      <c r="AJ30" s="27">
        <v>25</v>
      </c>
      <c r="AK30" s="43" t="s">
        <v>64</v>
      </c>
      <c r="AL30" s="37">
        <v>15</v>
      </c>
      <c r="AM30" s="15">
        <f t="shared" si="8"/>
        <v>184069.07718883545</v>
      </c>
      <c r="AN30" s="30">
        <f>(0.687+0.018)*1.003*0.9976247</f>
        <v>0.7054353897405</v>
      </c>
      <c r="AO30" s="15">
        <f t="shared" si="9"/>
        <v>99223.26870069033</v>
      </c>
      <c r="AP30" s="15">
        <f t="shared" si="10"/>
        <v>29965.427154774807</v>
      </c>
      <c r="AQ30" s="25">
        <f t="shared" si="11"/>
        <v>28430.770902013304</v>
      </c>
      <c r="AR30" s="26">
        <f t="shared" si="12"/>
        <v>1321.0574633980427</v>
      </c>
      <c r="AS30" s="27">
        <v>25</v>
      </c>
      <c r="AT30" s="43" t="s">
        <v>64</v>
      </c>
      <c r="AU30" s="37">
        <v>15</v>
      </c>
      <c r="AV30" s="26">
        <f t="shared" si="13"/>
        <v>1809.7910464310462</v>
      </c>
      <c r="AW30" s="15">
        <f t="shared" si="14"/>
        <v>1809.7910464310462</v>
      </c>
      <c r="AX30" s="26"/>
      <c r="AY30" s="30"/>
      <c r="AZ30" s="23">
        <f t="shared" si="15"/>
        <v>0.10892679974883476</v>
      </c>
      <c r="BA30" s="23">
        <f t="shared" si="16"/>
        <v>15268.761869929032</v>
      </c>
      <c r="BB30" s="23">
        <f t="shared" si="17"/>
        <v>4611.166129873677</v>
      </c>
      <c r="BC30" s="61">
        <f t="shared" si="18"/>
        <v>3438.8339217252246</v>
      </c>
      <c r="BD30" s="27">
        <v>25</v>
      </c>
      <c r="BE30" s="43" t="s">
        <v>64</v>
      </c>
      <c r="BF30" s="37">
        <v>15</v>
      </c>
      <c r="BG30" s="15">
        <f t="shared" si="19"/>
        <v>9347.527400633624</v>
      </c>
      <c r="BH30" s="26">
        <f t="shared" si="20"/>
        <v>1813.8246103998347</v>
      </c>
      <c r="BI30" s="30"/>
      <c r="BJ30" s="30"/>
      <c r="BK30" s="30"/>
      <c r="BL30" s="30"/>
      <c r="BM30" s="27">
        <v>25</v>
      </c>
      <c r="BN30" s="43" t="s">
        <v>64</v>
      </c>
      <c r="BO30" s="37">
        <v>15</v>
      </c>
      <c r="BP30" s="15">
        <f t="shared" si="21"/>
        <v>267.0188218988219</v>
      </c>
      <c r="BQ30" s="30">
        <f>19.07*H30*4</f>
        <v>3661.44</v>
      </c>
      <c r="BR30" s="30"/>
      <c r="BS30" s="15">
        <f t="shared" si="22"/>
        <v>1736.0386953824673</v>
      </c>
      <c r="BT30" s="30"/>
      <c r="BU30" s="15">
        <f t="shared" si="23"/>
        <v>1869.2052729525008</v>
      </c>
      <c r="BV30" s="27">
        <v>25</v>
      </c>
      <c r="BW30" s="43" t="s">
        <v>64</v>
      </c>
      <c r="BX30" s="37">
        <v>15</v>
      </c>
      <c r="BY30" s="18">
        <f t="shared" si="24"/>
        <v>99265.35409955174</v>
      </c>
      <c r="BZ30" s="18">
        <f t="shared" si="25"/>
        <v>0.3921364790958051</v>
      </c>
      <c r="CA30" s="15">
        <f t="shared" si="26"/>
        <v>71067.80988384556</v>
      </c>
      <c r="CB30" s="15">
        <f t="shared" si="27"/>
        <v>21462.478535805276</v>
      </c>
      <c r="CC30" s="15">
        <f t="shared" si="28"/>
        <v>6735.065679900899</v>
      </c>
      <c r="CD30" s="15">
        <f t="shared" si="29"/>
        <v>7204.524887554231</v>
      </c>
      <c r="CE30" s="27">
        <v>25</v>
      </c>
      <c r="CF30" s="43" t="s">
        <v>64</v>
      </c>
      <c r="CG30" s="37">
        <v>15</v>
      </c>
      <c r="CH30" s="15">
        <f t="shared" si="30"/>
        <v>33975.7931236875</v>
      </c>
      <c r="CI30" s="15">
        <f t="shared" si="31"/>
        <v>6535.694532223704</v>
      </c>
      <c r="CJ30" s="15">
        <f t="shared" si="32"/>
        <v>12724.706946691884</v>
      </c>
      <c r="CK30" s="62">
        <f t="shared" si="33"/>
        <v>525.7005404605582</v>
      </c>
      <c r="CL30" s="67">
        <f t="shared" si="34"/>
        <v>116651.34</v>
      </c>
      <c r="CM30" s="67">
        <f t="shared" si="35"/>
        <v>98857.06779661016</v>
      </c>
      <c r="CN30" s="74"/>
    </row>
    <row r="31" spans="1:92" ht="11.25" customHeight="1">
      <c r="A31" s="27">
        <v>26</v>
      </c>
      <c r="B31" s="27" t="s">
        <v>64</v>
      </c>
      <c r="C31" s="29" t="s">
        <v>60</v>
      </c>
      <c r="D31" s="31">
        <v>1962</v>
      </c>
      <c r="E31" s="32">
        <v>4</v>
      </c>
      <c r="F31" s="32">
        <v>5</v>
      </c>
      <c r="G31" s="32"/>
      <c r="H31" s="32">
        <v>80</v>
      </c>
      <c r="I31" s="32"/>
      <c r="J31" s="33">
        <v>293.3</v>
      </c>
      <c r="K31" s="34">
        <f>297+228</f>
        <v>525</v>
      </c>
      <c r="L31" s="35">
        <v>439</v>
      </c>
      <c r="M31" s="35">
        <v>0</v>
      </c>
      <c r="N31" s="35">
        <v>1360</v>
      </c>
      <c r="O31" s="32"/>
      <c r="P31" s="27">
        <v>26</v>
      </c>
      <c r="Q31" s="43" t="s">
        <v>64</v>
      </c>
      <c r="R31" s="37" t="s">
        <v>60</v>
      </c>
      <c r="S31" s="30">
        <v>3186.8</v>
      </c>
      <c r="T31" s="30">
        <v>3186.8</v>
      </c>
      <c r="U31" s="23">
        <v>20.35</v>
      </c>
      <c r="V31" s="23">
        <v>21.98</v>
      </c>
      <c r="W31" s="23">
        <f>(S31*U31*6)+(2390.7*V31*6)+796.1*21.2*6</f>
        <v>805657.716</v>
      </c>
      <c r="X31" s="23">
        <f t="shared" si="1"/>
        <v>759680.4115122072</v>
      </c>
      <c r="Y31" s="23">
        <f t="shared" si="2"/>
        <v>45977.304487792775</v>
      </c>
      <c r="Z31" s="27">
        <v>26</v>
      </c>
      <c r="AA31" s="43" t="s">
        <v>64</v>
      </c>
      <c r="AB31" s="37" t="s">
        <v>60</v>
      </c>
      <c r="AC31" s="24">
        <f t="shared" si="3"/>
        <v>643796.9589086502</v>
      </c>
      <c r="AD31" s="15">
        <f t="shared" si="4"/>
        <v>81485.99901057556</v>
      </c>
      <c r="AE31" s="30">
        <f>0.83*1.078*0.997053</f>
        <v>0.89210320122</v>
      </c>
      <c r="AF31" s="15">
        <f t="shared" si="5"/>
        <v>60551.52260378162</v>
      </c>
      <c r="AG31" s="15">
        <f t="shared" si="6"/>
        <v>18286.559832879917</v>
      </c>
      <c r="AH31" s="30">
        <f t="shared" si="0"/>
        <v>78838.08243666153</v>
      </c>
      <c r="AI31" s="15">
        <f t="shared" si="7"/>
        <v>2647.9165739140317</v>
      </c>
      <c r="AJ31" s="27">
        <v>26</v>
      </c>
      <c r="AK31" s="43" t="s">
        <v>64</v>
      </c>
      <c r="AL31" s="37" t="s">
        <v>60</v>
      </c>
      <c r="AM31" s="15">
        <f t="shared" si="8"/>
        <v>286547.90897303185</v>
      </c>
      <c r="AN31" s="30">
        <f>(1.076+0.018)*1.003*0.9976247</f>
        <v>1.0946756260653998</v>
      </c>
      <c r="AO31" s="15">
        <f t="shared" si="9"/>
        <v>153971.99426745417</v>
      </c>
      <c r="AP31" s="15">
        <f t="shared" si="10"/>
        <v>46499.54227989168</v>
      </c>
      <c r="AQ31" s="25">
        <f t="shared" si="11"/>
        <v>44504.951719489145</v>
      </c>
      <c r="AR31" s="26">
        <f t="shared" si="12"/>
        <v>2052.38567718328</v>
      </c>
      <c r="AS31" s="27">
        <v>26</v>
      </c>
      <c r="AT31" s="43" t="s">
        <v>64</v>
      </c>
      <c r="AU31" s="37" t="s">
        <v>60</v>
      </c>
      <c r="AV31" s="26">
        <f t="shared" si="13"/>
        <v>3016.3184107184106</v>
      </c>
      <c r="AW31" s="15">
        <f t="shared" si="14"/>
        <v>3016.3184107184106</v>
      </c>
      <c r="AX31" s="26"/>
      <c r="AY31" s="30"/>
      <c r="AZ31" s="23">
        <f t="shared" si="15"/>
        <v>0.17051180147341913</v>
      </c>
      <c r="BA31" s="23">
        <f t="shared" si="16"/>
        <v>23901.409925871816</v>
      </c>
      <c r="BB31" s="23">
        <f t="shared" si="17"/>
        <v>7218.225868298181</v>
      </c>
      <c r="BC31" s="61">
        <f t="shared" si="18"/>
        <v>5383.080824125133</v>
      </c>
      <c r="BD31" s="27">
        <v>26</v>
      </c>
      <c r="BE31" s="43" t="s">
        <v>64</v>
      </c>
      <c r="BF31" s="37" t="s">
        <v>60</v>
      </c>
      <c r="BG31" s="15">
        <f t="shared" si="19"/>
        <v>24939.483876204682</v>
      </c>
      <c r="BH31" s="26">
        <f t="shared" si="20"/>
        <v>2839.324230485408</v>
      </c>
      <c r="BI31" s="30"/>
      <c r="BJ31" s="30"/>
      <c r="BK31" s="30"/>
      <c r="BL31" s="30"/>
      <c r="BM31" s="27">
        <v>26</v>
      </c>
      <c r="BN31" s="43" t="s">
        <v>64</v>
      </c>
      <c r="BO31" s="37" t="s">
        <v>60</v>
      </c>
      <c r="BP31" s="15">
        <f t="shared" si="21"/>
        <v>445.03136983136983</v>
      </c>
      <c r="BQ31" s="30">
        <f aca="true" t="shared" si="37" ref="BQ31:BQ36">19.07*H31*4</f>
        <v>6102.4</v>
      </c>
      <c r="BR31" s="30"/>
      <c r="BS31" s="15">
        <f t="shared" si="22"/>
        <v>2717.559737913767</v>
      </c>
      <c r="BT31" s="30">
        <f>14616*100/118*0.8</f>
        <v>9909.152542372882</v>
      </c>
      <c r="BU31" s="15">
        <f t="shared" si="23"/>
        <v>2926.0159956012526</v>
      </c>
      <c r="BV31" s="27">
        <v>26</v>
      </c>
      <c r="BW31" s="43" t="s">
        <v>64</v>
      </c>
      <c r="BX31" s="37" t="s">
        <v>60</v>
      </c>
      <c r="BY31" s="18">
        <f t="shared" si="24"/>
        <v>155387.97054939167</v>
      </c>
      <c r="BZ31" s="18">
        <f t="shared" si="25"/>
        <v>0.6138424853043088</v>
      </c>
      <c r="CA31" s="15">
        <f t="shared" si="26"/>
        <v>111248.1071509181</v>
      </c>
      <c r="CB31" s="15">
        <f t="shared" si="27"/>
        <v>33596.928282691944</v>
      </c>
      <c r="CC31" s="15">
        <f t="shared" si="28"/>
        <v>10542.935115781604</v>
      </c>
      <c r="CD31" s="15">
        <f t="shared" si="29"/>
        <v>11277.81703097447</v>
      </c>
      <c r="CE31" s="27">
        <v>26</v>
      </c>
      <c r="CF31" s="43" t="s">
        <v>64</v>
      </c>
      <c r="CG31" s="37" t="s">
        <v>60</v>
      </c>
      <c r="CH31" s="15">
        <f t="shared" si="30"/>
        <v>53185.016959704946</v>
      </c>
      <c r="CI31" s="15">
        <f t="shared" si="31"/>
        <v>10230.843567781954</v>
      </c>
      <c r="CJ31" s="15">
        <f t="shared" si="32"/>
        <v>19918.99798492863</v>
      </c>
      <c r="CK31" s="62">
        <f t="shared" si="33"/>
        <v>822.9209560564431</v>
      </c>
      <c r="CL31" s="67">
        <f t="shared" si="34"/>
        <v>182603.64</v>
      </c>
      <c r="CM31" s="67">
        <f t="shared" si="35"/>
        <v>154748.84745762713</v>
      </c>
      <c r="CN31" s="74"/>
    </row>
    <row r="32" spans="1:92" ht="11.25" customHeight="1">
      <c r="A32" s="27">
        <v>27</v>
      </c>
      <c r="B32" s="27" t="s">
        <v>64</v>
      </c>
      <c r="C32" s="29">
        <v>17</v>
      </c>
      <c r="D32" s="31">
        <v>1961</v>
      </c>
      <c r="E32" s="32">
        <v>3</v>
      </c>
      <c r="F32" s="32">
        <v>4</v>
      </c>
      <c r="G32" s="32"/>
      <c r="H32" s="32">
        <v>40</v>
      </c>
      <c r="I32" s="32"/>
      <c r="J32" s="33">
        <v>175.2</v>
      </c>
      <c r="K32" s="34">
        <f>225+544</f>
        <v>769</v>
      </c>
      <c r="L32" s="35">
        <v>0</v>
      </c>
      <c r="M32" s="35">
        <v>0</v>
      </c>
      <c r="N32" s="35">
        <v>1374</v>
      </c>
      <c r="O32" s="32"/>
      <c r="P32" s="27">
        <v>27</v>
      </c>
      <c r="Q32" s="43" t="s">
        <v>64</v>
      </c>
      <c r="R32" s="37">
        <v>17</v>
      </c>
      <c r="S32" s="79">
        <v>2006</v>
      </c>
      <c r="T32" s="79">
        <v>2006</v>
      </c>
      <c r="U32" s="23">
        <v>20.35</v>
      </c>
      <c r="V32" s="23">
        <v>21.98</v>
      </c>
      <c r="W32" s="23">
        <f>(S32*U32*6)+(1869.1*V32*6)+136.9*21.2*6</f>
        <v>508843.188</v>
      </c>
      <c r="X32" s="23">
        <f t="shared" si="1"/>
        <v>481779.820830483</v>
      </c>
      <c r="Y32" s="23">
        <f t="shared" si="2"/>
        <v>27063.367169517034</v>
      </c>
      <c r="Z32" s="27">
        <v>27</v>
      </c>
      <c r="AA32" s="43" t="s">
        <v>64</v>
      </c>
      <c r="AB32" s="37">
        <v>17</v>
      </c>
      <c r="AC32" s="24">
        <f t="shared" si="3"/>
        <v>408287.9837546466</v>
      </c>
      <c r="AD32" s="15">
        <f t="shared" si="4"/>
        <v>58905.54145342813</v>
      </c>
      <c r="AE32" s="30">
        <f>0.6*1.078*0.997053</f>
        <v>0.6448938804000001</v>
      </c>
      <c r="AF32" s="15">
        <f t="shared" si="5"/>
        <v>43772.1850147819</v>
      </c>
      <c r="AG32" s="15">
        <f t="shared" si="6"/>
        <v>13219.199879190304</v>
      </c>
      <c r="AH32" s="30">
        <f t="shared" si="0"/>
        <v>56991.3848939722</v>
      </c>
      <c r="AI32" s="15">
        <f t="shared" si="7"/>
        <v>1914.1565594559265</v>
      </c>
      <c r="AJ32" s="27">
        <v>27</v>
      </c>
      <c r="AK32" s="43" t="s">
        <v>64</v>
      </c>
      <c r="AL32" s="37">
        <v>17</v>
      </c>
      <c r="AM32" s="15">
        <f t="shared" si="8"/>
        <v>176536.91494380272</v>
      </c>
      <c r="AN32" s="30">
        <f>(0.652+0.018)*1.003*0.9976247</f>
        <v>0.670413774647</v>
      </c>
      <c r="AO32" s="15">
        <f t="shared" si="9"/>
        <v>94297.29082193265</v>
      </c>
      <c r="AP32" s="15">
        <f t="shared" si="10"/>
        <v>28477.781835034213</v>
      </c>
      <c r="AQ32" s="25">
        <f t="shared" si="11"/>
        <v>28014.601841751984</v>
      </c>
      <c r="AR32" s="26">
        <f t="shared" si="12"/>
        <v>1261.658892448375</v>
      </c>
      <c r="AS32" s="27">
        <v>27</v>
      </c>
      <c r="AT32" s="43" t="s">
        <v>64</v>
      </c>
      <c r="AU32" s="37">
        <v>17</v>
      </c>
      <c r="AV32" s="26">
        <f t="shared" si="13"/>
        <v>1508.1592053592053</v>
      </c>
      <c r="AW32" s="15">
        <f t="shared" si="14"/>
        <v>1508.1592053592053</v>
      </c>
      <c r="AX32" s="26"/>
      <c r="AY32" s="30"/>
      <c r="AZ32" s="23">
        <f t="shared" si="15"/>
        <v>0.10733233141573953</v>
      </c>
      <c r="BA32" s="23">
        <f t="shared" si="16"/>
        <v>15045.258036682208</v>
      </c>
      <c r="BB32" s="23">
        <f t="shared" si="17"/>
        <v>4543.667971572157</v>
      </c>
      <c r="BC32" s="61">
        <f t="shared" si="18"/>
        <v>3388.496339021908</v>
      </c>
      <c r="BD32" s="27">
        <v>27</v>
      </c>
      <c r="BE32" s="43" t="s">
        <v>64</v>
      </c>
      <c r="BF32" s="37">
        <v>17</v>
      </c>
      <c r="BG32" s="15">
        <f t="shared" si="19"/>
        <v>14959.22275719959</v>
      </c>
      <c r="BH32" s="26">
        <f t="shared" si="20"/>
        <v>1787.2738817477493</v>
      </c>
      <c r="BI32" s="30"/>
      <c r="BJ32" s="30"/>
      <c r="BK32" s="30"/>
      <c r="BL32" s="30"/>
      <c r="BM32" s="27">
        <v>27</v>
      </c>
      <c r="BN32" s="43" t="s">
        <v>64</v>
      </c>
      <c r="BO32" s="37">
        <v>17</v>
      </c>
      <c r="BP32" s="15">
        <f t="shared" si="21"/>
        <v>222.51568491568491</v>
      </c>
      <c r="BQ32" s="30">
        <f t="shared" si="37"/>
        <v>3051.2</v>
      </c>
      <c r="BR32" s="30"/>
      <c r="BS32" s="15">
        <f t="shared" si="22"/>
        <v>1710.626595410762</v>
      </c>
      <c r="BT32" s="30">
        <f>9360*100/118*0.8</f>
        <v>6345.762711864407</v>
      </c>
      <c r="BU32" s="15">
        <f t="shared" si="23"/>
        <v>1841.8438832609866</v>
      </c>
      <c r="BV32" s="27">
        <v>27</v>
      </c>
      <c r="BW32" s="43" t="s">
        <v>64</v>
      </c>
      <c r="BX32" s="37">
        <v>17</v>
      </c>
      <c r="BY32" s="18">
        <f t="shared" si="24"/>
        <v>97812.30981614145</v>
      </c>
      <c r="BZ32" s="18">
        <f t="shared" si="25"/>
        <v>0.3863963930966623</v>
      </c>
      <c r="CA32" s="15">
        <f t="shared" si="26"/>
        <v>70027.52069309077</v>
      </c>
      <c r="CB32" s="15">
        <f t="shared" si="27"/>
        <v>21148.311200916287</v>
      </c>
      <c r="CC32" s="15">
        <f t="shared" si="28"/>
        <v>6636.477922134397</v>
      </c>
      <c r="CD32" s="15">
        <f t="shared" si="29"/>
        <v>7099.0651952224125</v>
      </c>
      <c r="CE32" s="27">
        <v>27</v>
      </c>
      <c r="CF32" s="43" t="s">
        <v>64</v>
      </c>
      <c r="CG32" s="37">
        <v>17</v>
      </c>
      <c r="CH32" s="15">
        <f t="shared" si="30"/>
        <v>33478.45613818505</v>
      </c>
      <c r="CI32" s="15">
        <f t="shared" si="31"/>
        <v>6440.025165360424</v>
      </c>
      <c r="CJ32" s="15">
        <f t="shared" si="32"/>
        <v>12538.442938925198</v>
      </c>
      <c r="CK32" s="62">
        <f t="shared" si="33"/>
        <v>518.0053463817072</v>
      </c>
      <c r="CL32" s="67">
        <f t="shared" si="34"/>
        <v>114943.80000000002</v>
      </c>
      <c r="CM32" s="67">
        <f t="shared" si="35"/>
        <v>97410.00000000001</v>
      </c>
      <c r="CN32" s="74"/>
    </row>
    <row r="33" spans="1:92" ht="11.25" customHeight="1">
      <c r="A33" s="27">
        <v>28</v>
      </c>
      <c r="B33" s="27" t="s">
        <v>64</v>
      </c>
      <c r="C33" s="29" t="s">
        <v>65</v>
      </c>
      <c r="D33" s="31">
        <v>1968</v>
      </c>
      <c r="E33" s="32">
        <v>4</v>
      </c>
      <c r="F33" s="32">
        <v>5</v>
      </c>
      <c r="G33" s="32"/>
      <c r="H33" s="32">
        <v>80</v>
      </c>
      <c r="I33" s="32"/>
      <c r="J33" s="33">
        <v>310.3</v>
      </c>
      <c r="K33" s="34">
        <v>853</v>
      </c>
      <c r="L33" s="35">
        <v>0</v>
      </c>
      <c r="M33" s="35">
        <v>0</v>
      </c>
      <c r="N33" s="35">
        <v>3255</v>
      </c>
      <c r="O33" s="32"/>
      <c r="P33" s="27">
        <v>28</v>
      </c>
      <c r="Q33" s="43" t="s">
        <v>64</v>
      </c>
      <c r="R33" s="37" t="s">
        <v>65</v>
      </c>
      <c r="S33" s="30">
        <v>3204.2</v>
      </c>
      <c r="T33" s="30">
        <v>3204.2</v>
      </c>
      <c r="U33" s="23">
        <v>20.35</v>
      </c>
      <c r="V33" s="23">
        <v>21.98</v>
      </c>
      <c r="W33" s="23">
        <f t="shared" si="36"/>
        <v>813802.716</v>
      </c>
      <c r="X33" s="23">
        <f t="shared" si="1"/>
        <v>786571.3142929189</v>
      </c>
      <c r="Y33" s="23">
        <f t="shared" si="2"/>
        <v>27231.401707081124</v>
      </c>
      <c r="Z33" s="27">
        <v>28</v>
      </c>
      <c r="AA33" s="43" t="s">
        <v>64</v>
      </c>
      <c r="AB33" s="37" t="s">
        <v>65</v>
      </c>
      <c r="AC33" s="24">
        <f t="shared" si="3"/>
        <v>666585.8595702703</v>
      </c>
      <c r="AD33" s="15">
        <f t="shared" si="4"/>
        <v>101121.17949505162</v>
      </c>
      <c r="AE33" s="30">
        <f>1.03*1.078*0.997053</f>
        <v>1.1070678280200001</v>
      </c>
      <c r="AF33" s="15">
        <f t="shared" si="5"/>
        <v>75142.25094204226</v>
      </c>
      <c r="AG33" s="15">
        <f t="shared" si="6"/>
        <v>22692.95979261002</v>
      </c>
      <c r="AH33" s="30">
        <f t="shared" si="0"/>
        <v>97835.21073465228</v>
      </c>
      <c r="AI33" s="15">
        <f t="shared" si="7"/>
        <v>3285.9687603993407</v>
      </c>
      <c r="AJ33" s="27">
        <v>28</v>
      </c>
      <c r="AK33" s="43" t="s">
        <v>64</v>
      </c>
      <c r="AL33" s="37" t="s">
        <v>65</v>
      </c>
      <c r="AM33" s="15">
        <f t="shared" si="8"/>
        <v>288285.8099817237</v>
      </c>
      <c r="AN33" s="30">
        <f>(1.081+0.02)*1.003*0.9976247</f>
        <v>1.1016799490840998</v>
      </c>
      <c r="AO33" s="15">
        <f t="shared" si="9"/>
        <v>154957.1898432057</v>
      </c>
      <c r="AP33" s="15">
        <f t="shared" si="10"/>
        <v>46797.071343839794</v>
      </c>
      <c r="AQ33" s="25">
        <f t="shared" si="11"/>
        <v>44747.94976138669</v>
      </c>
      <c r="AR33" s="26">
        <f t="shared" si="12"/>
        <v>2065.2583468290154</v>
      </c>
      <c r="AS33" s="27">
        <v>28</v>
      </c>
      <c r="AT33" s="43" t="s">
        <v>64</v>
      </c>
      <c r="AU33" s="37" t="s">
        <v>65</v>
      </c>
      <c r="AV33" s="26">
        <f t="shared" si="13"/>
        <v>3016.3184107184106</v>
      </c>
      <c r="AW33" s="15">
        <f t="shared" si="14"/>
        <v>3016.3184107184106</v>
      </c>
      <c r="AX33" s="26"/>
      <c r="AY33" s="30"/>
      <c r="AZ33" s="23">
        <f t="shared" si="15"/>
        <v>0.17144279976187068</v>
      </c>
      <c r="BA33" s="23">
        <f t="shared" si="16"/>
        <v>24031.912164076337</v>
      </c>
      <c r="BB33" s="23">
        <f t="shared" si="17"/>
        <v>7257.637544621887</v>
      </c>
      <c r="BC33" s="61">
        <f t="shared" si="18"/>
        <v>5412.472567045861</v>
      </c>
      <c r="BD33" s="27">
        <v>28</v>
      </c>
      <c r="BE33" s="43" t="s">
        <v>64</v>
      </c>
      <c r="BF33" s="37" t="s">
        <v>65</v>
      </c>
      <c r="BG33" s="15">
        <f t="shared" si="19"/>
        <v>24985.80070166395</v>
      </c>
      <c r="BH33" s="26">
        <f t="shared" si="20"/>
        <v>2854.8270049332696</v>
      </c>
      <c r="BI33" s="30"/>
      <c r="BJ33" s="30"/>
      <c r="BK33" s="30"/>
      <c r="BL33" s="30"/>
      <c r="BM33" s="27">
        <v>28</v>
      </c>
      <c r="BN33" s="43" t="s">
        <v>64</v>
      </c>
      <c r="BO33" s="37" t="s">
        <v>65</v>
      </c>
      <c r="BP33" s="15">
        <f t="shared" si="21"/>
        <v>445.03136983136983</v>
      </c>
      <c r="BQ33" s="30">
        <f t="shared" si="37"/>
        <v>6102.4</v>
      </c>
      <c r="BR33" s="30"/>
      <c r="BS33" s="15">
        <f t="shared" si="22"/>
        <v>2732.3976754811383</v>
      </c>
      <c r="BT33" s="30">
        <f>14616*100/118*0.8</f>
        <v>9909.152542372882</v>
      </c>
      <c r="BU33" s="15">
        <f t="shared" si="23"/>
        <v>2941.9921090452904</v>
      </c>
      <c r="BV33" s="27">
        <v>28</v>
      </c>
      <c r="BW33" s="43" t="s">
        <v>64</v>
      </c>
      <c r="BX33" s="37" t="s">
        <v>65</v>
      </c>
      <c r="BY33" s="18">
        <f t="shared" si="24"/>
        <v>156236.39237930233</v>
      </c>
      <c r="BZ33" s="18">
        <f t="shared" si="25"/>
        <v>0.6171940791427344</v>
      </c>
      <c r="CA33" s="15">
        <f t="shared" si="26"/>
        <v>111855.52432941248</v>
      </c>
      <c r="CB33" s="15">
        <f t="shared" si="27"/>
        <v>33780.36827017745</v>
      </c>
      <c r="CC33" s="15">
        <f t="shared" si="28"/>
        <v>10600.499779712378</v>
      </c>
      <c r="CD33" s="15">
        <f t="shared" si="29"/>
        <v>11339.394166765529</v>
      </c>
      <c r="CE33" s="27">
        <v>28</v>
      </c>
      <c r="CF33" s="43" t="s">
        <v>64</v>
      </c>
      <c r="CG33" s="37" t="s">
        <v>65</v>
      </c>
      <c r="CH33" s="15">
        <f t="shared" si="30"/>
        <v>53475.4083539245</v>
      </c>
      <c r="CI33" s="15">
        <f t="shared" si="31"/>
        <v>10286.704204809506</v>
      </c>
      <c r="CJ33" s="15">
        <f t="shared" si="32"/>
        <v>20027.75616396018</v>
      </c>
      <c r="CK33" s="62">
        <f t="shared" si="33"/>
        <v>827.4141230689264</v>
      </c>
      <c r="CL33" s="67">
        <f t="shared" si="34"/>
        <v>183600.65999999997</v>
      </c>
      <c r="CM33" s="67">
        <f t="shared" si="35"/>
        <v>155593.77966101692</v>
      </c>
      <c r="CN33" s="74"/>
    </row>
    <row r="34" spans="1:92" ht="11.25" customHeight="1">
      <c r="A34" s="27">
        <v>29</v>
      </c>
      <c r="B34" s="27" t="s">
        <v>64</v>
      </c>
      <c r="C34" s="29">
        <v>18</v>
      </c>
      <c r="D34" s="31">
        <v>1969</v>
      </c>
      <c r="E34" s="32">
        <v>4</v>
      </c>
      <c r="F34" s="32">
        <v>5</v>
      </c>
      <c r="G34" s="32"/>
      <c r="H34" s="32">
        <v>80</v>
      </c>
      <c r="I34" s="32"/>
      <c r="J34" s="33">
        <v>390.5</v>
      </c>
      <c r="K34" s="34">
        <v>862.6</v>
      </c>
      <c r="L34" s="35">
        <v>0</v>
      </c>
      <c r="M34" s="35">
        <v>0</v>
      </c>
      <c r="N34" s="35">
        <v>2426.4</v>
      </c>
      <c r="O34" s="32"/>
      <c r="P34" s="27">
        <v>29</v>
      </c>
      <c r="Q34" s="43" t="s">
        <v>64</v>
      </c>
      <c r="R34" s="37">
        <v>18</v>
      </c>
      <c r="S34" s="79">
        <v>2890.4</v>
      </c>
      <c r="T34" s="79">
        <v>2890.4</v>
      </c>
      <c r="U34" s="23">
        <v>20.35</v>
      </c>
      <c r="V34" s="23">
        <v>21.98</v>
      </c>
      <c r="W34" s="23">
        <f>(S34*U34*6)+(2890.4*V34*6)</f>
        <v>734103.7920000001</v>
      </c>
      <c r="X34" s="23">
        <f t="shared" si="1"/>
        <v>730636.0810943085</v>
      </c>
      <c r="Y34" s="23">
        <f t="shared" si="2"/>
        <v>3467.710905691609</v>
      </c>
      <c r="Z34" s="27">
        <v>29</v>
      </c>
      <c r="AA34" s="43" t="s">
        <v>64</v>
      </c>
      <c r="AB34" s="37">
        <v>18</v>
      </c>
      <c r="AC34" s="24">
        <f t="shared" si="3"/>
        <v>619183.119571448</v>
      </c>
      <c r="AD34" s="15">
        <f t="shared" si="4"/>
        <v>101121.17949505162</v>
      </c>
      <c r="AE34" s="30">
        <f>1.03*1.078*0.997053</f>
        <v>1.1070678280200001</v>
      </c>
      <c r="AF34" s="15">
        <f t="shared" si="5"/>
        <v>75142.25094204226</v>
      </c>
      <c r="AG34" s="15">
        <f t="shared" si="6"/>
        <v>22692.95979261002</v>
      </c>
      <c r="AH34" s="30">
        <f t="shared" si="0"/>
        <v>97835.21073465228</v>
      </c>
      <c r="AI34" s="15">
        <f t="shared" si="7"/>
        <v>3285.9687603993407</v>
      </c>
      <c r="AJ34" s="27">
        <v>29</v>
      </c>
      <c r="AK34" s="43" t="s">
        <v>64</v>
      </c>
      <c r="AL34" s="37">
        <v>18</v>
      </c>
      <c r="AM34" s="15">
        <f t="shared" si="8"/>
        <v>266416.6363656769</v>
      </c>
      <c r="AN34" s="30">
        <f>(1.006+0.02)*1.003*0.9976247</f>
        <v>1.0266336310266</v>
      </c>
      <c r="AO34" s="15">
        <f t="shared" si="9"/>
        <v>144401.52296015358</v>
      </c>
      <c r="AP34" s="15">
        <f t="shared" si="10"/>
        <v>43609.25994439568</v>
      </c>
      <c r="AQ34" s="25">
        <f t="shared" si="11"/>
        <v>40365.60576440675</v>
      </c>
      <c r="AR34" s="26">
        <f t="shared" si="12"/>
        <v>1916.2814532172008</v>
      </c>
      <c r="AS34" s="27">
        <v>29</v>
      </c>
      <c r="AT34" s="43" t="s">
        <v>64</v>
      </c>
      <c r="AU34" s="37">
        <v>18</v>
      </c>
      <c r="AV34" s="26">
        <f t="shared" si="13"/>
        <v>3016.3184107184106</v>
      </c>
      <c r="AW34" s="15">
        <f t="shared" si="14"/>
        <v>3016.3184107184106</v>
      </c>
      <c r="AX34" s="26"/>
      <c r="AY34" s="30"/>
      <c r="AZ34" s="23">
        <f t="shared" si="15"/>
        <v>0.1546527271804853</v>
      </c>
      <c r="BA34" s="23">
        <f t="shared" si="16"/>
        <v>21678.37179921548</v>
      </c>
      <c r="BB34" s="23">
        <f t="shared" si="17"/>
        <v>6546.868347473661</v>
      </c>
      <c r="BC34" s="61">
        <f t="shared" si="18"/>
        <v>4882.407686096173</v>
      </c>
      <c r="BD34" s="27">
        <v>29</v>
      </c>
      <c r="BE34" s="43" t="s">
        <v>64</v>
      </c>
      <c r="BF34" s="37">
        <v>18</v>
      </c>
      <c r="BG34" s="15">
        <f t="shared" si="19"/>
        <v>24150.50071148467</v>
      </c>
      <c r="BH34" s="26">
        <f t="shared" si="20"/>
        <v>2575.24248644252</v>
      </c>
      <c r="BI34" s="30"/>
      <c r="BJ34" s="30"/>
      <c r="BK34" s="30"/>
      <c r="BL34" s="30"/>
      <c r="BM34" s="27">
        <v>29</v>
      </c>
      <c r="BN34" s="43" t="s">
        <v>64</v>
      </c>
      <c r="BO34" s="37">
        <v>18</v>
      </c>
      <c r="BP34" s="15">
        <f t="shared" si="21"/>
        <v>445.03136983136983</v>
      </c>
      <c r="BQ34" s="30">
        <f t="shared" si="37"/>
        <v>6102.4</v>
      </c>
      <c r="BR34" s="30"/>
      <c r="BS34" s="15">
        <f t="shared" si="22"/>
        <v>2464.8031462488866</v>
      </c>
      <c r="BT34" s="30">
        <f>14616*100/118*0.8</f>
        <v>9909.152542372882</v>
      </c>
      <c r="BU34" s="15">
        <f t="shared" si="23"/>
        <v>2653.871166589011</v>
      </c>
      <c r="BV34" s="27">
        <v>29</v>
      </c>
      <c r="BW34" s="43" t="s">
        <v>64</v>
      </c>
      <c r="BX34" s="37">
        <v>18</v>
      </c>
      <c r="BY34" s="18">
        <f t="shared" si="24"/>
        <v>140935.5435157404</v>
      </c>
      <c r="BZ34" s="18">
        <f t="shared" si="25"/>
        <v>0.5567498178497471</v>
      </c>
      <c r="CA34" s="15">
        <f t="shared" si="26"/>
        <v>100901.0696965651</v>
      </c>
      <c r="CB34" s="15">
        <f t="shared" si="27"/>
        <v>30472.122978628337</v>
      </c>
      <c r="CC34" s="15">
        <f t="shared" si="28"/>
        <v>9562.35084054699</v>
      </c>
      <c r="CD34" s="15">
        <f t="shared" si="29"/>
        <v>10228.882373016382</v>
      </c>
      <c r="CE34" s="27">
        <v>29</v>
      </c>
      <c r="CF34" s="43" t="s">
        <v>64</v>
      </c>
      <c r="CG34" s="37">
        <v>18</v>
      </c>
      <c r="CH34" s="15">
        <f t="shared" si="30"/>
        <v>48238.34976162018</v>
      </c>
      <c r="CI34" s="15">
        <f t="shared" si="31"/>
        <v>9279.286509450534</v>
      </c>
      <c r="CJ34" s="15">
        <f t="shared" si="32"/>
        <v>18066.35865935663</v>
      </c>
      <c r="CK34" s="62">
        <f t="shared" si="33"/>
        <v>746.3821800506913</v>
      </c>
      <c r="CL34" s="67">
        <f t="shared" si="34"/>
        <v>165619.91999999998</v>
      </c>
      <c r="CM34" s="67">
        <f t="shared" si="35"/>
        <v>140355.86440677964</v>
      </c>
      <c r="CN34" s="74"/>
    </row>
    <row r="35" spans="1:92" ht="11.25" customHeight="1">
      <c r="A35" s="27">
        <v>30</v>
      </c>
      <c r="B35" s="27" t="s">
        <v>64</v>
      </c>
      <c r="C35" s="29">
        <v>19</v>
      </c>
      <c r="D35" s="31">
        <v>1963</v>
      </c>
      <c r="E35" s="32">
        <v>4</v>
      </c>
      <c r="F35" s="32">
        <v>5</v>
      </c>
      <c r="G35" s="32"/>
      <c r="H35" s="32">
        <v>80</v>
      </c>
      <c r="I35" s="32"/>
      <c r="J35" s="33">
        <v>305.6</v>
      </c>
      <c r="K35" s="34">
        <v>995</v>
      </c>
      <c r="L35" s="35">
        <v>0</v>
      </c>
      <c r="M35" s="35">
        <v>0</v>
      </c>
      <c r="N35" s="35">
        <v>2626</v>
      </c>
      <c r="O35" s="32"/>
      <c r="P35" s="27">
        <v>30</v>
      </c>
      <c r="Q35" s="43" t="s">
        <v>64</v>
      </c>
      <c r="R35" s="37">
        <v>19</v>
      </c>
      <c r="S35" s="79">
        <v>3175.3</v>
      </c>
      <c r="T35" s="79">
        <v>3175.3</v>
      </c>
      <c r="U35" s="23">
        <v>20.35</v>
      </c>
      <c r="V35" s="23">
        <v>21.98</v>
      </c>
      <c r="W35" s="23">
        <f t="shared" si="36"/>
        <v>806462.6940000001</v>
      </c>
      <c r="X35" s="23">
        <f t="shared" si="1"/>
        <v>763260.0078431969</v>
      </c>
      <c r="Y35" s="23">
        <f t="shared" si="2"/>
        <v>43202.68615680328</v>
      </c>
      <c r="Z35" s="27">
        <v>30</v>
      </c>
      <c r="AA35" s="43" t="s">
        <v>64</v>
      </c>
      <c r="AB35" s="37">
        <v>19</v>
      </c>
      <c r="AC35" s="24">
        <f t="shared" si="3"/>
        <v>646830.5151213533</v>
      </c>
      <c r="AD35" s="15">
        <f t="shared" si="4"/>
        <v>96212.38437393258</v>
      </c>
      <c r="AE35" s="30">
        <f>0.98*1.078*0.997053</f>
        <v>1.05332667132</v>
      </c>
      <c r="AF35" s="15">
        <f t="shared" si="5"/>
        <v>71494.56885747709</v>
      </c>
      <c r="AG35" s="15">
        <f t="shared" si="6"/>
        <v>21591.359802677493</v>
      </c>
      <c r="AH35" s="30">
        <f t="shared" si="0"/>
        <v>93085.92866015458</v>
      </c>
      <c r="AI35" s="15">
        <f t="shared" si="7"/>
        <v>3126.455713778013</v>
      </c>
      <c r="AJ35" s="27">
        <v>30</v>
      </c>
      <c r="AK35" s="43" t="s">
        <v>64</v>
      </c>
      <c r="AL35" s="37">
        <v>19</v>
      </c>
      <c r="AM35" s="15">
        <f t="shared" si="8"/>
        <v>285699.9749186129</v>
      </c>
      <c r="AN35" s="30">
        <f>(1.073+0.018)*1.003*0.9976247</f>
        <v>1.0916737733431</v>
      </c>
      <c r="AO35" s="15">
        <f t="shared" si="9"/>
        <v>153549.7675921321</v>
      </c>
      <c r="AP35" s="15">
        <f t="shared" si="10"/>
        <v>46372.02982391391</v>
      </c>
      <c r="AQ35" s="25">
        <f t="shared" si="11"/>
        <v>44344.34956536146</v>
      </c>
      <c r="AR35" s="26">
        <f t="shared" si="12"/>
        <v>2046.5179116782747</v>
      </c>
      <c r="AS35" s="27">
        <v>30</v>
      </c>
      <c r="AT35" s="43" t="s">
        <v>64</v>
      </c>
      <c r="AU35" s="37">
        <v>19</v>
      </c>
      <c r="AV35" s="26">
        <f t="shared" si="13"/>
        <v>3016.3184107184106</v>
      </c>
      <c r="AW35" s="15">
        <f t="shared" si="14"/>
        <v>3016.3184107184106</v>
      </c>
      <c r="AX35" s="26"/>
      <c r="AY35" s="30"/>
      <c r="AZ35" s="23">
        <f t="shared" si="15"/>
        <v>0.1698964865126609</v>
      </c>
      <c r="BA35" s="23">
        <f t="shared" si="16"/>
        <v>23815.158446598714</v>
      </c>
      <c r="BB35" s="23">
        <f t="shared" si="17"/>
        <v>7192.1779213026275</v>
      </c>
      <c r="BC35" s="61">
        <f t="shared" si="18"/>
        <v>5363.65524690741</v>
      </c>
      <c r="BD35" s="27">
        <v>30</v>
      </c>
      <c r="BE35" s="43" t="s">
        <v>64</v>
      </c>
      <c r="BF35" s="37">
        <v>19</v>
      </c>
      <c r="BG35" s="15">
        <f t="shared" si="19"/>
        <v>14999.719638844348</v>
      </c>
      <c r="BH35" s="26">
        <f t="shared" si="20"/>
        <v>2829.0781439250395</v>
      </c>
      <c r="BI35" s="30"/>
      <c r="BJ35" s="30"/>
      <c r="BK35" s="30"/>
      <c r="BL35" s="30"/>
      <c r="BM35" s="27">
        <v>30</v>
      </c>
      <c r="BN35" s="43" t="s">
        <v>64</v>
      </c>
      <c r="BO35" s="37">
        <v>19</v>
      </c>
      <c r="BP35" s="15">
        <f t="shared" si="21"/>
        <v>445.03136983136983</v>
      </c>
      <c r="BQ35" s="30">
        <f t="shared" si="37"/>
        <v>6102.4</v>
      </c>
      <c r="BR35" s="30"/>
      <c r="BS35" s="15">
        <f t="shared" si="22"/>
        <v>2707.75305503878</v>
      </c>
      <c r="BT35" s="30"/>
      <c r="BU35" s="15">
        <f t="shared" si="23"/>
        <v>2915.457070049158</v>
      </c>
      <c r="BV35" s="27">
        <v>30</v>
      </c>
      <c r="BW35" s="43" t="s">
        <v>64</v>
      </c>
      <c r="BX35" s="37">
        <v>19</v>
      </c>
      <c r="BY35" s="18">
        <f t="shared" si="24"/>
        <v>154827.23198364605</v>
      </c>
      <c r="BZ35" s="18">
        <f t="shared" si="25"/>
        <v>0.6116273514455792</v>
      </c>
      <c r="CA35" s="15">
        <f t="shared" si="26"/>
        <v>110846.65326857984</v>
      </c>
      <c r="CB35" s="15">
        <f t="shared" si="27"/>
        <v>33475.68921050324</v>
      </c>
      <c r="CC35" s="15">
        <f t="shared" si="28"/>
        <v>10504.889504562987</v>
      </c>
      <c r="CD35" s="15">
        <f t="shared" si="29"/>
        <v>11237.119498698767</v>
      </c>
      <c r="CE35" s="27">
        <v>30</v>
      </c>
      <c r="CF35" s="43" t="s">
        <v>64</v>
      </c>
      <c r="CG35" s="37">
        <v>19</v>
      </c>
      <c r="CH35" s="15">
        <f t="shared" si="30"/>
        <v>52993.091612950644</v>
      </c>
      <c r="CI35" s="15">
        <f t="shared" si="31"/>
        <v>10193.924181240754</v>
      </c>
      <c r="CJ35" s="15">
        <f t="shared" si="32"/>
        <v>19847.117579246853</v>
      </c>
      <c r="CK35" s="62">
        <f t="shared" si="33"/>
        <v>819.9513341803764</v>
      </c>
      <c r="CL35" s="67">
        <f t="shared" si="34"/>
        <v>181944.69</v>
      </c>
      <c r="CM35" s="67">
        <f t="shared" si="35"/>
        <v>154190.41525423728</v>
      </c>
      <c r="CN35" s="74"/>
    </row>
    <row r="36" spans="1:92" ht="11.25" customHeight="1">
      <c r="A36" s="12">
        <v>31</v>
      </c>
      <c r="B36" s="12" t="s">
        <v>64</v>
      </c>
      <c r="C36" s="14">
        <v>21</v>
      </c>
      <c r="D36" s="16">
        <v>1963</v>
      </c>
      <c r="E36" s="17">
        <v>4</v>
      </c>
      <c r="F36" s="17">
        <v>5</v>
      </c>
      <c r="G36" s="17"/>
      <c r="H36" s="17">
        <v>80</v>
      </c>
      <c r="I36" s="17"/>
      <c r="J36" s="18">
        <v>300</v>
      </c>
      <c r="K36" s="19">
        <f>257+537</f>
        <v>794</v>
      </c>
      <c r="L36" s="20">
        <v>0</v>
      </c>
      <c r="M36" s="20">
        <v>0</v>
      </c>
      <c r="N36" s="20">
        <v>2166</v>
      </c>
      <c r="O36" s="17"/>
      <c r="P36" s="12">
        <v>31</v>
      </c>
      <c r="Q36" s="44" t="s">
        <v>64</v>
      </c>
      <c r="R36" s="22">
        <v>21</v>
      </c>
      <c r="S36" s="15">
        <v>3203.6</v>
      </c>
      <c r="T36" s="15">
        <v>3203.6</v>
      </c>
      <c r="U36" s="23">
        <v>20.35</v>
      </c>
      <c r="V36" s="23">
        <v>21.98</v>
      </c>
      <c r="W36" s="23">
        <f>(S36*U36*6)+(2947.8*V36*6)+255.8*21.2*6</f>
        <v>812453.1840000001</v>
      </c>
      <c r="X36" s="23">
        <f t="shared" si="1"/>
        <v>766365.2682323735</v>
      </c>
      <c r="Y36" s="23">
        <f t="shared" si="2"/>
        <v>46087.915767626604</v>
      </c>
      <c r="Z36" s="12">
        <v>31</v>
      </c>
      <c r="AA36" s="44" t="s">
        <v>64</v>
      </c>
      <c r="AB36" s="22">
        <v>21</v>
      </c>
      <c r="AC36" s="24">
        <f t="shared" si="3"/>
        <v>649462.0917223505</v>
      </c>
      <c r="AD36" s="15">
        <f t="shared" si="4"/>
        <v>84431.27608324698</v>
      </c>
      <c r="AE36" s="15">
        <f>0.86*1.078*0.997053</f>
        <v>0.9243478952399999</v>
      </c>
      <c r="AF36" s="15">
        <f t="shared" si="5"/>
        <v>62740.13185452071</v>
      </c>
      <c r="AG36" s="15">
        <f t="shared" si="6"/>
        <v>18947.519826839434</v>
      </c>
      <c r="AH36" s="15">
        <f t="shared" si="0"/>
        <v>81687.65168136015</v>
      </c>
      <c r="AI36" s="15">
        <f t="shared" si="7"/>
        <v>2743.624401886828</v>
      </c>
      <c r="AJ36" s="12">
        <v>31</v>
      </c>
      <c r="AK36" s="44" t="s">
        <v>64</v>
      </c>
      <c r="AL36" s="22">
        <v>21</v>
      </c>
      <c r="AM36" s="15">
        <f t="shared" si="8"/>
        <v>287900.7668962449</v>
      </c>
      <c r="AN36" s="15">
        <f>(1.081+0.018)*1.003*0.9976247</f>
        <v>1.0996787139358999</v>
      </c>
      <c r="AO36" s="15">
        <f t="shared" si="9"/>
        <v>154675.705392991</v>
      </c>
      <c r="AP36" s="15">
        <f t="shared" si="10"/>
        <v>46712.06303985462</v>
      </c>
      <c r="AQ36" s="25">
        <f t="shared" si="11"/>
        <v>44739.57051856264</v>
      </c>
      <c r="AR36" s="26">
        <f t="shared" si="12"/>
        <v>2061.9598672517573</v>
      </c>
      <c r="AS36" s="12">
        <v>31</v>
      </c>
      <c r="AT36" s="44" t="s">
        <v>64</v>
      </c>
      <c r="AU36" s="22">
        <v>21</v>
      </c>
      <c r="AV36" s="26">
        <f t="shared" si="13"/>
        <v>3016.3184107184106</v>
      </c>
      <c r="AW36" s="15">
        <f t="shared" si="14"/>
        <v>3016.3184107184106</v>
      </c>
      <c r="AX36" s="26"/>
      <c r="AY36" s="15"/>
      <c r="AZ36" s="23">
        <f t="shared" si="15"/>
        <v>0.17141069637261375</v>
      </c>
      <c r="BA36" s="23">
        <f t="shared" si="16"/>
        <v>24027.41208689687</v>
      </c>
      <c r="BB36" s="23">
        <f t="shared" si="17"/>
        <v>7256.27852130038</v>
      </c>
      <c r="BC36" s="61">
        <f t="shared" si="18"/>
        <v>5411.459058669285</v>
      </c>
      <c r="BD36" s="12">
        <v>31</v>
      </c>
      <c r="BE36" s="44" t="s">
        <v>64</v>
      </c>
      <c r="BF36" s="22">
        <v>21</v>
      </c>
      <c r="BG36" s="15">
        <f t="shared" si="19"/>
        <v>24984.20356975156</v>
      </c>
      <c r="BH36" s="26">
        <f t="shared" si="20"/>
        <v>2854.292426504033</v>
      </c>
      <c r="BI36" s="15"/>
      <c r="BJ36" s="15"/>
      <c r="BK36" s="15"/>
      <c r="BL36" s="15"/>
      <c r="BM36" s="12">
        <v>31</v>
      </c>
      <c r="BN36" s="44" t="s">
        <v>64</v>
      </c>
      <c r="BO36" s="22">
        <v>21</v>
      </c>
      <c r="BP36" s="15">
        <f t="shared" si="21"/>
        <v>445.03136983136983</v>
      </c>
      <c r="BQ36" s="30">
        <f t="shared" si="37"/>
        <v>6102.4</v>
      </c>
      <c r="BR36" s="30"/>
      <c r="BS36" s="15">
        <f t="shared" si="22"/>
        <v>2731.8860224615737</v>
      </c>
      <c r="BT36" s="30">
        <f>14616*100/118*0.8</f>
        <v>9909.152542372882</v>
      </c>
      <c r="BU36" s="15">
        <f t="shared" si="23"/>
        <v>2941.441208581703</v>
      </c>
      <c r="BV36" s="12">
        <v>31</v>
      </c>
      <c r="BW36" s="44" t="s">
        <v>64</v>
      </c>
      <c r="BX36" s="22">
        <v>21</v>
      </c>
      <c r="BY36" s="18">
        <f t="shared" si="24"/>
        <v>156207.13645413303</v>
      </c>
      <c r="BZ36" s="18">
        <f t="shared" si="25"/>
        <v>0.6170785069414094</v>
      </c>
      <c r="CA36" s="15">
        <f t="shared" si="26"/>
        <v>111834.57890946441</v>
      </c>
      <c r="CB36" s="15">
        <f t="shared" si="27"/>
        <v>33774.04275336761</v>
      </c>
      <c r="CC36" s="15">
        <f t="shared" si="28"/>
        <v>10598.514791300973</v>
      </c>
      <c r="CD36" s="15">
        <f t="shared" si="29"/>
        <v>11337.270817255494</v>
      </c>
      <c r="CE36" s="12">
        <v>31</v>
      </c>
      <c r="CF36" s="44" t="s">
        <v>64</v>
      </c>
      <c r="CG36" s="22">
        <v>21</v>
      </c>
      <c r="CH36" s="15">
        <f t="shared" si="30"/>
        <v>53465.39485757209</v>
      </c>
      <c r="CI36" s="15">
        <f t="shared" si="31"/>
        <v>10284.777975946487</v>
      </c>
      <c r="CJ36" s="15">
        <f t="shared" si="32"/>
        <v>20024.005881924608</v>
      </c>
      <c r="CK36" s="62">
        <f t="shared" si="33"/>
        <v>827.2591862753925</v>
      </c>
      <c r="CL36" s="67">
        <f t="shared" si="34"/>
        <v>183566.28</v>
      </c>
      <c r="CM36" s="67">
        <f t="shared" si="35"/>
        <v>155564.64406779662</v>
      </c>
      <c r="CN36" s="74"/>
    </row>
    <row r="37" spans="1:92" ht="11.25" customHeight="1">
      <c r="A37" s="27">
        <v>32</v>
      </c>
      <c r="B37" s="27" t="s">
        <v>64</v>
      </c>
      <c r="C37" s="29">
        <v>22</v>
      </c>
      <c r="D37" s="31">
        <v>1975</v>
      </c>
      <c r="E37" s="32">
        <v>4</v>
      </c>
      <c r="F37" s="32">
        <v>9</v>
      </c>
      <c r="G37" s="32">
        <v>4</v>
      </c>
      <c r="H37" s="32">
        <v>197</v>
      </c>
      <c r="I37" s="32"/>
      <c r="J37" s="33">
        <v>648</v>
      </c>
      <c r="K37" s="34">
        <f>3925.4</f>
        <v>3925.4</v>
      </c>
      <c r="L37" s="35">
        <v>0</v>
      </c>
      <c r="M37" s="35">
        <v>1334.6</v>
      </c>
      <c r="N37" s="35">
        <v>2550</v>
      </c>
      <c r="O37" s="32"/>
      <c r="P37" s="27">
        <v>32</v>
      </c>
      <c r="Q37" s="43" t="s">
        <v>64</v>
      </c>
      <c r="R37" s="37">
        <v>22</v>
      </c>
      <c r="S37" s="79">
        <v>8418.8</v>
      </c>
      <c r="T37" s="79">
        <v>8418.8</v>
      </c>
      <c r="U37" s="23">
        <v>26.31</v>
      </c>
      <c r="V37" s="23">
        <v>27.79</v>
      </c>
      <c r="W37" s="23">
        <f t="shared" si="36"/>
        <v>2732742.4799999995</v>
      </c>
      <c r="X37" s="23">
        <f t="shared" si="1"/>
        <v>2631105.3442401006</v>
      </c>
      <c r="Y37" s="23">
        <f t="shared" si="2"/>
        <v>101637.13575989893</v>
      </c>
      <c r="Z37" s="27">
        <v>32</v>
      </c>
      <c r="AA37" s="43" t="s">
        <v>64</v>
      </c>
      <c r="AB37" s="37">
        <v>22</v>
      </c>
      <c r="AC37" s="24">
        <f t="shared" si="3"/>
        <v>2229750.291728899</v>
      </c>
      <c r="AD37" s="15">
        <f t="shared" si="4"/>
        <v>260166.14141930753</v>
      </c>
      <c r="AE37" s="30">
        <f>2.65*1.078*0.997053</f>
        <v>2.8482813051</v>
      </c>
      <c r="AF37" s="15">
        <f t="shared" si="5"/>
        <v>193327.15048195334</v>
      </c>
      <c r="AG37" s="15">
        <f t="shared" si="6"/>
        <v>58384.79946642383</v>
      </c>
      <c r="AH37" s="30">
        <f t="shared" si="0"/>
        <v>251711.94994837718</v>
      </c>
      <c r="AI37" s="15">
        <f t="shared" si="7"/>
        <v>8454.191470930342</v>
      </c>
      <c r="AJ37" s="27">
        <v>32</v>
      </c>
      <c r="AK37" s="43" t="s">
        <v>64</v>
      </c>
      <c r="AL37" s="37">
        <v>22</v>
      </c>
      <c r="AM37" s="15">
        <f t="shared" si="8"/>
        <v>798426.6808906819</v>
      </c>
      <c r="AN37" s="30">
        <f>(3.091+0.02)*1.003*0.9976247</f>
        <v>3.1129212730251</v>
      </c>
      <c r="AO37" s="15">
        <f t="shared" si="9"/>
        <v>437849.06230900367</v>
      </c>
      <c r="AP37" s="15">
        <f t="shared" si="10"/>
        <v>132230.41684894243</v>
      </c>
      <c r="AQ37" s="25">
        <f t="shared" si="11"/>
        <v>117571.94914523509</v>
      </c>
      <c r="AR37" s="26">
        <f t="shared" si="12"/>
        <v>5780.5024705734995</v>
      </c>
      <c r="AS37" s="27">
        <v>32</v>
      </c>
      <c r="AT37" s="43" t="s">
        <v>64</v>
      </c>
      <c r="AU37" s="37">
        <v>22</v>
      </c>
      <c r="AV37" s="26">
        <f t="shared" si="13"/>
        <v>8562.884086394086</v>
      </c>
      <c r="AW37" s="15">
        <f t="shared" si="14"/>
        <v>7427.684086394086</v>
      </c>
      <c r="AX37" s="26">
        <f>283.8*G37</f>
        <v>1135.2</v>
      </c>
      <c r="AY37" s="30"/>
      <c r="AZ37" s="23">
        <f t="shared" si="15"/>
        <v>0.45045335579403184</v>
      </c>
      <c r="BA37" s="23">
        <f t="shared" si="16"/>
        <v>63142.082930817625</v>
      </c>
      <c r="BB37" s="23">
        <f t="shared" si="17"/>
        <v>19068.909231840313</v>
      </c>
      <c r="BC37" s="61">
        <f t="shared" si="18"/>
        <v>14220.873867875192</v>
      </c>
      <c r="BD37" s="27">
        <v>32</v>
      </c>
      <c r="BE37" s="43" t="s">
        <v>64</v>
      </c>
      <c r="BF37" s="37">
        <v>22</v>
      </c>
      <c r="BG37" s="15">
        <f t="shared" si="19"/>
        <v>508538.71509772184</v>
      </c>
      <c r="BH37" s="26">
        <f t="shared" si="20"/>
        <v>7500.84813342869</v>
      </c>
      <c r="BI37" s="30">
        <f>28000/37*4</f>
        <v>3027.027027027027</v>
      </c>
      <c r="BJ37" s="30">
        <f>154631.87/37*4</f>
        <v>16716.958918918917</v>
      </c>
      <c r="BK37" s="30">
        <f>40879.494/37*4</f>
        <v>4419.404756756757</v>
      </c>
      <c r="BL37" s="30">
        <f>4120320/37*4</f>
        <v>445440</v>
      </c>
      <c r="BM37" s="27">
        <v>32</v>
      </c>
      <c r="BN37" s="43" t="s">
        <v>64</v>
      </c>
      <c r="BO37" s="37">
        <v>22</v>
      </c>
      <c r="BP37" s="15">
        <f t="shared" si="21"/>
        <v>1095.8897482097482</v>
      </c>
      <c r="BQ37" s="30"/>
      <c r="BR37" s="30"/>
      <c r="BS37" s="15">
        <f t="shared" si="22"/>
        <v>7179.174068516511</v>
      </c>
      <c r="BT37" s="30">
        <f>23706*100/118*0.8-642.32</f>
        <v>15429.544406779663</v>
      </c>
      <c r="BU37" s="15">
        <f t="shared" si="23"/>
        <v>7729.868038084543</v>
      </c>
      <c r="BV37" s="27">
        <v>32</v>
      </c>
      <c r="BW37" s="43" t="s">
        <v>64</v>
      </c>
      <c r="BX37" s="37">
        <v>22</v>
      </c>
      <c r="BY37" s="18">
        <f t="shared" si="24"/>
        <v>410499.63802598784</v>
      </c>
      <c r="BZ37" s="18">
        <f t="shared" si="25"/>
        <v>1.6216320808585145</v>
      </c>
      <c r="CA37" s="15">
        <f t="shared" si="26"/>
        <v>293892.1690982017</v>
      </c>
      <c r="CB37" s="15">
        <f t="shared" si="27"/>
        <v>88755.4348645434</v>
      </c>
      <c r="CC37" s="15">
        <f t="shared" si="28"/>
        <v>27852.034063242798</v>
      </c>
      <c r="CD37" s="15">
        <f t="shared" si="29"/>
        <v>29793.42475849374</v>
      </c>
      <c r="CE37" s="27">
        <v>32</v>
      </c>
      <c r="CF37" s="43" t="s">
        <v>64</v>
      </c>
      <c r="CG37" s="37">
        <v>22</v>
      </c>
      <c r="CH37" s="15">
        <f t="shared" si="30"/>
        <v>140502.7051526183</v>
      </c>
      <c r="CI37" s="15">
        <f t="shared" si="31"/>
        <v>27027.55925330824</v>
      </c>
      <c r="CJ37" s="15">
        <f t="shared" si="32"/>
        <v>52621.45733510641</v>
      </c>
      <c r="CK37" s="62">
        <f t="shared" si="33"/>
        <v>2173.969795672142</v>
      </c>
      <c r="CL37" s="67">
        <f t="shared" si="34"/>
        <v>482397.23999999993</v>
      </c>
      <c r="CM37" s="67">
        <f t="shared" si="35"/>
        <v>408811.220338983</v>
      </c>
      <c r="CN37" s="74"/>
    </row>
    <row r="38" spans="1:92" ht="11.25" customHeight="1">
      <c r="A38" s="27">
        <v>33</v>
      </c>
      <c r="B38" s="27" t="s">
        <v>64</v>
      </c>
      <c r="C38" s="29">
        <v>23</v>
      </c>
      <c r="D38" s="31">
        <v>1964</v>
      </c>
      <c r="E38" s="32">
        <v>4</v>
      </c>
      <c r="F38" s="32">
        <v>5</v>
      </c>
      <c r="G38" s="32"/>
      <c r="H38" s="32">
        <v>64</v>
      </c>
      <c r="I38" s="32"/>
      <c r="J38" s="33">
        <v>316.8</v>
      </c>
      <c r="K38" s="34">
        <f>149+17+0</f>
        <v>166</v>
      </c>
      <c r="L38" s="57">
        <v>2416</v>
      </c>
      <c r="M38" s="35">
        <v>374</v>
      </c>
      <c r="N38" s="35">
        <v>1620</v>
      </c>
      <c r="O38" s="32"/>
      <c r="P38" s="27">
        <v>33</v>
      </c>
      <c r="Q38" s="43" t="s">
        <v>64</v>
      </c>
      <c r="R38" s="37">
        <v>23</v>
      </c>
      <c r="S38" s="79">
        <v>2565.9</v>
      </c>
      <c r="T38" s="79">
        <v>2565.9</v>
      </c>
      <c r="U38" s="23">
        <v>20.35</v>
      </c>
      <c r="V38" s="23">
        <v>21.98</v>
      </c>
      <c r="W38" s="23">
        <f t="shared" si="36"/>
        <v>651687.282</v>
      </c>
      <c r="X38" s="23">
        <f t="shared" si="1"/>
        <v>752823.5475927802</v>
      </c>
      <c r="Y38" s="23">
        <f t="shared" si="2"/>
        <v>-101136.2655927802</v>
      </c>
      <c r="Z38" s="27">
        <v>33</v>
      </c>
      <c r="AA38" s="43" t="s">
        <v>64</v>
      </c>
      <c r="AB38" s="37">
        <v>23</v>
      </c>
      <c r="AC38" s="24">
        <f t="shared" si="3"/>
        <v>637986.0572820172</v>
      </c>
      <c r="AD38" s="15">
        <f t="shared" si="4"/>
        <v>161990.23899692734</v>
      </c>
      <c r="AE38" s="30">
        <f>1.65*1.078*0.997053</f>
        <v>1.7734581711</v>
      </c>
      <c r="AF38" s="15">
        <f t="shared" si="5"/>
        <v>120373.5087906502</v>
      </c>
      <c r="AG38" s="15">
        <f t="shared" si="6"/>
        <v>36352.79966777333</v>
      </c>
      <c r="AH38" s="30">
        <f t="shared" si="0"/>
        <v>156726.30845842353</v>
      </c>
      <c r="AI38" s="15">
        <f t="shared" si="7"/>
        <v>5263.930538503798</v>
      </c>
      <c r="AJ38" s="27">
        <v>33</v>
      </c>
      <c r="AK38" s="43" t="s">
        <v>64</v>
      </c>
      <c r="AL38" s="37">
        <v>23</v>
      </c>
      <c r="AM38" s="15">
        <f t="shared" si="8"/>
        <v>261973.3671931653</v>
      </c>
      <c r="AN38" s="30">
        <f>(1.032+0.018)*1.003*0.9976247</f>
        <v>1.050648452805</v>
      </c>
      <c r="AO38" s="15">
        <f t="shared" si="9"/>
        <v>147779.33636273028</v>
      </c>
      <c r="AP38" s="15">
        <f t="shared" si="10"/>
        <v>44629.3595922178</v>
      </c>
      <c r="AQ38" s="25">
        <f t="shared" si="11"/>
        <v>35833.83193706452</v>
      </c>
      <c r="AR38" s="26">
        <f t="shared" si="12"/>
        <v>1927.0727077343831</v>
      </c>
      <c r="AS38" s="27">
        <v>33</v>
      </c>
      <c r="AT38" s="43" t="s">
        <v>64</v>
      </c>
      <c r="AU38" s="37">
        <v>23</v>
      </c>
      <c r="AV38" s="26">
        <f t="shared" si="13"/>
        <v>2413.0547285747284</v>
      </c>
      <c r="AW38" s="15">
        <f t="shared" si="14"/>
        <v>2413.0547285747284</v>
      </c>
      <c r="AX38" s="26"/>
      <c r="AY38" s="30"/>
      <c r="AZ38" s="23">
        <f t="shared" si="15"/>
        <v>0.137290144157351</v>
      </c>
      <c r="BA38" s="23">
        <f t="shared" si="16"/>
        <v>19244.580057987478</v>
      </c>
      <c r="BB38" s="23">
        <f t="shared" si="17"/>
        <v>5811.863234425224</v>
      </c>
      <c r="BC38" s="61">
        <f t="shared" si="18"/>
        <v>4334.268572430865</v>
      </c>
      <c r="BD38" s="27">
        <v>33</v>
      </c>
      <c r="BE38" s="43" t="s">
        <v>64</v>
      </c>
      <c r="BF38" s="37">
        <v>23</v>
      </c>
      <c r="BG38" s="15">
        <f t="shared" si="19"/>
        <v>12068.0797191953</v>
      </c>
      <c r="BH38" s="26">
        <f t="shared" si="20"/>
        <v>2286.124652630384</v>
      </c>
      <c r="BI38" s="30"/>
      <c r="BJ38" s="30"/>
      <c r="BK38" s="30"/>
      <c r="BL38" s="30"/>
      <c r="BM38" s="27">
        <v>33</v>
      </c>
      <c r="BN38" s="43" t="s">
        <v>64</v>
      </c>
      <c r="BO38" s="37">
        <v>23</v>
      </c>
      <c r="BP38" s="15">
        <f t="shared" si="21"/>
        <v>356.02509586509586</v>
      </c>
      <c r="BQ38" s="30">
        <f>19.07*H38*4</f>
        <v>4881.92</v>
      </c>
      <c r="BR38" s="30"/>
      <c r="BS38" s="15">
        <f t="shared" si="22"/>
        <v>2188.084138167734</v>
      </c>
      <c r="BT38" s="30"/>
      <c r="BU38" s="15">
        <f t="shared" si="23"/>
        <v>2355.9258325320866</v>
      </c>
      <c r="BV38" s="27">
        <v>33</v>
      </c>
      <c r="BW38" s="43" t="s">
        <v>64</v>
      </c>
      <c r="BX38" s="37">
        <v>23</v>
      </c>
      <c r="BY38" s="18">
        <f t="shared" si="24"/>
        <v>125112.96398665872</v>
      </c>
      <c r="BZ38" s="18">
        <f t="shared" si="25"/>
        <v>0.49424451896646354</v>
      </c>
      <c r="CA38" s="15">
        <f t="shared" si="26"/>
        <v>89573.08840797689</v>
      </c>
      <c r="CB38" s="15">
        <f t="shared" si="27"/>
        <v>27051.072637303645</v>
      </c>
      <c r="CC38" s="15">
        <f t="shared" si="28"/>
        <v>8488.80294137819</v>
      </c>
      <c r="CD38" s="15">
        <f t="shared" si="29"/>
        <v>9080.50417967158</v>
      </c>
      <c r="CE38" s="27">
        <v>33</v>
      </c>
      <c r="CF38" s="43" t="s">
        <v>64</v>
      </c>
      <c r="CG38" s="37">
        <v>23</v>
      </c>
      <c r="CH38" s="15">
        <f t="shared" si="30"/>
        <v>42822.717151031415</v>
      </c>
      <c r="CI38" s="15">
        <f t="shared" si="31"/>
        <v>8237.517732701053</v>
      </c>
      <c r="CJ38" s="15">
        <f t="shared" si="32"/>
        <v>16038.081125118728</v>
      </c>
      <c r="CK38" s="62">
        <f t="shared" si="33"/>
        <v>662.587197547768</v>
      </c>
      <c r="CL38" s="67">
        <f t="shared" si="34"/>
        <v>147026.07</v>
      </c>
      <c r="CM38" s="67">
        <f t="shared" si="35"/>
        <v>124598.36440677966</v>
      </c>
      <c r="CN38" s="74"/>
    </row>
    <row r="39" spans="1:92" ht="11.25" customHeight="1">
      <c r="A39" s="27">
        <v>34</v>
      </c>
      <c r="B39" s="27" t="s">
        <v>66</v>
      </c>
      <c r="C39" s="29" t="s">
        <v>67</v>
      </c>
      <c r="D39" s="31">
        <v>1985</v>
      </c>
      <c r="E39" s="32">
        <v>2</v>
      </c>
      <c r="F39" s="32">
        <v>14</v>
      </c>
      <c r="G39" s="32">
        <v>4</v>
      </c>
      <c r="H39" s="32">
        <v>189</v>
      </c>
      <c r="I39" s="32">
        <v>189</v>
      </c>
      <c r="J39" s="41">
        <v>1263.6</v>
      </c>
      <c r="K39" s="34">
        <f>2403</f>
        <v>2403</v>
      </c>
      <c r="L39" s="35">
        <v>0</v>
      </c>
      <c r="M39" s="35">
        <v>0</v>
      </c>
      <c r="N39" s="35">
        <v>9011</v>
      </c>
      <c r="O39" s="32">
        <v>2</v>
      </c>
      <c r="P39" s="27">
        <v>34</v>
      </c>
      <c r="Q39" s="43" t="s">
        <v>66</v>
      </c>
      <c r="R39" s="37" t="s">
        <v>67</v>
      </c>
      <c r="S39" s="79">
        <v>4571.2</v>
      </c>
      <c r="T39" s="79">
        <v>4571.2</v>
      </c>
      <c r="U39" s="23">
        <v>27.64</v>
      </c>
      <c r="V39" s="23">
        <v>29.77</v>
      </c>
      <c r="W39" s="23">
        <f t="shared" si="36"/>
        <v>1574595.552</v>
      </c>
      <c r="X39" s="23">
        <f t="shared" si="1"/>
        <v>3166502.3638752</v>
      </c>
      <c r="Y39" s="70">
        <f t="shared" si="2"/>
        <v>-1591906.8118752001</v>
      </c>
      <c r="Z39" s="27">
        <v>34</v>
      </c>
      <c r="AA39" s="43" t="s">
        <v>66</v>
      </c>
      <c r="AB39" s="37" t="s">
        <v>67</v>
      </c>
      <c r="AC39" s="24">
        <f t="shared" si="3"/>
        <v>2683476.5795552544</v>
      </c>
      <c r="AD39" s="15">
        <f t="shared" si="4"/>
        <v>389758.3326168494</v>
      </c>
      <c r="AE39" s="30">
        <f>3.97*1.078*0.997053</f>
        <v>4.26704784198</v>
      </c>
      <c r="AF39" s="15">
        <f t="shared" si="5"/>
        <v>289625.9575144735</v>
      </c>
      <c r="AG39" s="15">
        <f t="shared" si="6"/>
        <v>87467.0392006425</v>
      </c>
      <c r="AH39" s="30">
        <f t="shared" si="0"/>
        <v>377092.996715116</v>
      </c>
      <c r="AI39" s="15">
        <f t="shared" si="7"/>
        <v>12665.33590173338</v>
      </c>
      <c r="AJ39" s="27">
        <v>34</v>
      </c>
      <c r="AK39" s="43" t="s">
        <v>66</v>
      </c>
      <c r="AL39" s="37" t="s">
        <v>67</v>
      </c>
      <c r="AM39" s="15">
        <f t="shared" si="8"/>
        <v>1390317.3933426216</v>
      </c>
      <c r="AN39" s="30">
        <f>(2.843+0.02)*1.003*0.9976247</f>
        <v>2.8647681146483</v>
      </c>
      <c r="AO39" s="15">
        <f t="shared" si="9"/>
        <v>402944.9904823779</v>
      </c>
      <c r="AP39" s="15">
        <f t="shared" si="10"/>
        <v>121689.38715478053</v>
      </c>
      <c r="AQ39" s="25">
        <f t="shared" si="11"/>
        <v>63838.65799552177</v>
      </c>
      <c r="AR39" s="26">
        <f t="shared" si="12"/>
        <v>5043.989296189895</v>
      </c>
      <c r="AS39" s="27">
        <v>34</v>
      </c>
      <c r="AT39" s="43" t="s">
        <v>66</v>
      </c>
      <c r="AU39" s="37" t="s">
        <v>67</v>
      </c>
      <c r="AV39" s="26">
        <f t="shared" si="13"/>
        <v>744440.2522453222</v>
      </c>
      <c r="AW39" s="15">
        <f t="shared" si="14"/>
        <v>7126.052245322245</v>
      </c>
      <c r="AX39" s="26">
        <f>283.8*G39</f>
        <v>1135.2</v>
      </c>
      <c r="AY39" s="38">
        <v>736179</v>
      </c>
      <c r="AZ39" s="23">
        <f t="shared" si="15"/>
        <v>0.2445850216189574</v>
      </c>
      <c r="BA39" s="23">
        <f t="shared" si="16"/>
        <v>34284.588004626974</v>
      </c>
      <c r="BB39" s="23">
        <f t="shared" si="17"/>
        <v>10353.945678788956</v>
      </c>
      <c r="BC39" s="61">
        <f t="shared" si="18"/>
        <v>7721.582485013432</v>
      </c>
      <c r="BD39" s="27">
        <v>34</v>
      </c>
      <c r="BE39" s="43" t="s">
        <v>66</v>
      </c>
      <c r="BF39" s="37" t="s">
        <v>67</v>
      </c>
      <c r="BG39" s="15">
        <f t="shared" si="19"/>
        <v>543615.272544682</v>
      </c>
      <c r="BH39" s="26">
        <f t="shared" si="20"/>
        <v>4072.774859544024</v>
      </c>
      <c r="BI39" s="30">
        <f>28000/37*4</f>
        <v>3027.027027027027</v>
      </c>
      <c r="BJ39" s="30">
        <f>154631.87/37*4</f>
        <v>16716.958918918917</v>
      </c>
      <c r="BK39" s="30">
        <f>40879.49/37*4</f>
        <v>4419.404324324324</v>
      </c>
      <c r="BL39" s="30">
        <f>4120320/37*4</f>
        <v>445440</v>
      </c>
      <c r="BM39" s="27">
        <v>34</v>
      </c>
      <c r="BN39" s="43" t="s">
        <v>66</v>
      </c>
      <c r="BO39" s="37" t="s">
        <v>67</v>
      </c>
      <c r="BP39" s="15">
        <f t="shared" si="21"/>
        <v>1051.3866112266112</v>
      </c>
      <c r="BQ39" s="30"/>
      <c r="BR39" s="30">
        <v>60792.48</v>
      </c>
      <c r="BS39" s="15">
        <f t="shared" si="22"/>
        <v>3898.1138050556706</v>
      </c>
      <c r="BT39" s="30"/>
      <c r="BU39" s="15">
        <f t="shared" si="23"/>
        <v>4197.126998585554</v>
      </c>
      <c r="BV39" s="27">
        <v>34</v>
      </c>
      <c r="BW39" s="43" t="s">
        <v>66</v>
      </c>
      <c r="BX39" s="37" t="s">
        <v>67</v>
      </c>
      <c r="BY39" s="18">
        <f t="shared" si="24"/>
        <v>222891.14189010262</v>
      </c>
      <c r="BZ39" s="18">
        <f t="shared" si="25"/>
        <v>0.8805060778282465</v>
      </c>
      <c r="CA39" s="15">
        <f t="shared" si="26"/>
        <v>159576.17277779488</v>
      </c>
      <c r="CB39" s="15">
        <f t="shared" si="27"/>
        <v>48192.00406860844</v>
      </c>
      <c r="CC39" s="15">
        <f t="shared" si="28"/>
        <v>15122.965043699278</v>
      </c>
      <c r="CD39" s="15">
        <f t="shared" si="29"/>
        <v>16177.092133798948</v>
      </c>
      <c r="CE39" s="27">
        <v>34</v>
      </c>
      <c r="CF39" s="43" t="s">
        <v>66</v>
      </c>
      <c r="CG39" s="37" t="s">
        <v>67</v>
      </c>
      <c r="CH39" s="15">
        <f t="shared" si="30"/>
        <v>76289.49087680533</v>
      </c>
      <c r="CI39" s="15">
        <f t="shared" si="31"/>
        <v>14675.29563105462</v>
      </c>
      <c r="CJ39" s="15">
        <f t="shared" si="32"/>
        <v>28572.148735002425</v>
      </c>
      <c r="CK39" s="62">
        <f t="shared" si="33"/>
        <v>1180.411784337019</v>
      </c>
      <c r="CL39" s="67">
        <f t="shared" si="34"/>
        <v>261929.75999999998</v>
      </c>
      <c r="CM39" s="67">
        <f t="shared" si="35"/>
        <v>221974.3728813559</v>
      </c>
      <c r="CN39" s="74"/>
    </row>
    <row r="40" spans="1:92" ht="11.25" customHeight="1">
      <c r="A40" s="27"/>
      <c r="B40" s="27" t="s">
        <v>66</v>
      </c>
      <c r="C40" s="29" t="s">
        <v>68</v>
      </c>
      <c r="D40" s="31"/>
      <c r="E40" s="32"/>
      <c r="F40" s="32"/>
      <c r="G40" s="32"/>
      <c r="H40" s="32"/>
      <c r="I40" s="32"/>
      <c r="J40" s="41"/>
      <c r="K40" s="34"/>
      <c r="L40" s="35"/>
      <c r="M40" s="35"/>
      <c r="N40" s="35"/>
      <c r="O40" s="32"/>
      <c r="P40" s="27"/>
      <c r="Q40" s="43" t="s">
        <v>66</v>
      </c>
      <c r="R40" s="37" t="s">
        <v>68</v>
      </c>
      <c r="S40" s="79">
        <v>4839.8</v>
      </c>
      <c r="T40" s="79">
        <v>4839.8</v>
      </c>
      <c r="U40" s="23">
        <v>27.64</v>
      </c>
      <c r="V40" s="23">
        <v>29.77</v>
      </c>
      <c r="W40" s="23">
        <f t="shared" si="36"/>
        <v>1667117.508</v>
      </c>
      <c r="X40" s="23">
        <f t="shared" si="1"/>
        <v>610361.9466259328</v>
      </c>
      <c r="Y40" s="70">
        <f t="shared" si="2"/>
        <v>1056755.561374067</v>
      </c>
      <c r="Z40" s="27"/>
      <c r="AA40" s="43" t="s">
        <v>66</v>
      </c>
      <c r="AB40" s="37" t="s">
        <v>68</v>
      </c>
      <c r="AC40" s="24">
        <f t="shared" si="3"/>
        <v>517255.8869711295</v>
      </c>
      <c r="AD40" s="15">
        <f t="shared" si="4"/>
        <v>0</v>
      </c>
      <c r="AE40" s="30"/>
      <c r="AF40" s="15">
        <f t="shared" si="5"/>
        <v>0</v>
      </c>
      <c r="AG40" s="15">
        <v>0</v>
      </c>
      <c r="AH40" s="30">
        <v>0</v>
      </c>
      <c r="AI40" s="15">
        <f t="shared" si="7"/>
        <v>0</v>
      </c>
      <c r="AJ40" s="27"/>
      <c r="AK40" s="43" t="s">
        <v>66</v>
      </c>
      <c r="AL40" s="37" t="s">
        <v>68</v>
      </c>
      <c r="AM40" s="15">
        <f t="shared" si="8"/>
        <v>123446.59895533443</v>
      </c>
      <c r="AN40" s="30">
        <v>0</v>
      </c>
      <c r="AO40" s="15">
        <f t="shared" si="9"/>
        <v>0</v>
      </c>
      <c r="AP40" s="15">
        <f t="shared" si="10"/>
        <v>0</v>
      </c>
      <c r="AQ40" s="25">
        <f t="shared" si="11"/>
        <v>67589.76569975636</v>
      </c>
      <c r="AR40" s="26">
        <f t="shared" si="12"/>
        <v>420.0791796320418</v>
      </c>
      <c r="AS40" s="27"/>
      <c r="AT40" s="43" t="s">
        <v>66</v>
      </c>
      <c r="AU40" s="37" t="s">
        <v>68</v>
      </c>
      <c r="AV40" s="26">
        <f t="shared" si="13"/>
        <v>0</v>
      </c>
      <c r="AW40" s="15">
        <f t="shared" si="14"/>
        <v>0</v>
      </c>
      <c r="AX40" s="26"/>
      <c r="AY40" s="30"/>
      <c r="AZ40" s="23">
        <f t="shared" si="15"/>
        <v>0.25895663887631915</v>
      </c>
      <c r="BA40" s="23">
        <f t="shared" si="16"/>
        <v>36299.12255530137</v>
      </c>
      <c r="BB40" s="23">
        <f t="shared" si="17"/>
        <v>10962.335119050313</v>
      </c>
      <c r="BC40" s="61">
        <f t="shared" si="18"/>
        <v>8175.296401594333</v>
      </c>
      <c r="BD40" s="27"/>
      <c r="BE40" s="43" t="s">
        <v>66</v>
      </c>
      <c r="BF40" s="37" t="s">
        <v>68</v>
      </c>
      <c r="BG40" s="15">
        <f t="shared" si="19"/>
        <v>12882.99838263125</v>
      </c>
      <c r="BH40" s="26">
        <f t="shared" si="20"/>
        <v>4312.087803032282</v>
      </c>
      <c r="BI40" s="30"/>
      <c r="BJ40" s="30"/>
      <c r="BK40" s="30"/>
      <c r="BL40" s="30"/>
      <c r="BM40" s="27"/>
      <c r="BN40" s="43" t="s">
        <v>66</v>
      </c>
      <c r="BO40" s="37" t="s">
        <v>68</v>
      </c>
      <c r="BP40" s="15">
        <f t="shared" si="21"/>
        <v>0</v>
      </c>
      <c r="BQ40" s="30"/>
      <c r="BR40" s="30"/>
      <c r="BS40" s="15">
        <f t="shared" si="22"/>
        <v>4127.163806814061</v>
      </c>
      <c r="BT40" s="30"/>
      <c r="BU40" s="15">
        <f t="shared" si="23"/>
        <v>4443.746772784907</v>
      </c>
      <c r="BV40" s="27"/>
      <c r="BW40" s="43" t="s">
        <v>66</v>
      </c>
      <c r="BX40" s="37" t="s">
        <v>68</v>
      </c>
      <c r="BY40" s="18">
        <f t="shared" si="24"/>
        <v>235988.04439090803</v>
      </c>
      <c r="BZ40" s="18">
        <f t="shared" si="25"/>
        <v>0.9322438999547489</v>
      </c>
      <c r="CA40" s="15">
        <f t="shared" si="26"/>
        <v>168952.73910788674</v>
      </c>
      <c r="CB40" s="15">
        <f t="shared" si="27"/>
        <v>51023.72709381589</v>
      </c>
      <c r="CC40" s="15">
        <f t="shared" si="28"/>
        <v>16011.578189205411</v>
      </c>
      <c r="CD40" s="15">
        <f t="shared" si="29"/>
        <v>17127.644931125342</v>
      </c>
      <c r="CE40" s="27"/>
      <c r="CF40" s="43" t="s">
        <v>66</v>
      </c>
      <c r="CG40" s="37" t="s">
        <v>68</v>
      </c>
      <c r="CH40" s="15">
        <f t="shared" si="30"/>
        <v>80772.19941056232</v>
      </c>
      <c r="CI40" s="15">
        <f t="shared" si="31"/>
        <v>15537.604085399491</v>
      </c>
      <c r="CJ40" s="15">
        <f t="shared" si="32"/>
        <v>30251.024992926312</v>
      </c>
      <c r="CK40" s="62">
        <f t="shared" si="33"/>
        <v>1249.7718222423664</v>
      </c>
      <c r="CL40" s="67">
        <f t="shared" si="34"/>
        <v>277320.54000000004</v>
      </c>
      <c r="CM40" s="67">
        <f t="shared" si="35"/>
        <v>235017.40677966105</v>
      </c>
      <c r="CN40" s="74"/>
    </row>
    <row r="41" spans="1:92" ht="11.25" customHeight="1">
      <c r="A41" s="27">
        <v>35</v>
      </c>
      <c r="B41" s="27" t="s">
        <v>69</v>
      </c>
      <c r="C41" s="29">
        <v>17</v>
      </c>
      <c r="D41" s="31">
        <v>1955</v>
      </c>
      <c r="E41" s="32">
        <v>2</v>
      </c>
      <c r="F41" s="32">
        <v>2</v>
      </c>
      <c r="G41" s="32"/>
      <c r="H41" s="32">
        <v>8</v>
      </c>
      <c r="I41" s="32"/>
      <c r="J41" s="33">
        <v>56.4</v>
      </c>
      <c r="K41" s="34">
        <v>154</v>
      </c>
      <c r="L41" s="35">
        <v>0</v>
      </c>
      <c r="M41" s="35">
        <v>0</v>
      </c>
      <c r="N41" s="35">
        <v>189</v>
      </c>
      <c r="O41" s="32"/>
      <c r="P41" s="27">
        <v>35</v>
      </c>
      <c r="Q41" s="43" t="s">
        <v>69</v>
      </c>
      <c r="R41" s="37">
        <v>17</v>
      </c>
      <c r="S41" s="79">
        <v>394.6</v>
      </c>
      <c r="T41" s="79">
        <v>322.2</v>
      </c>
      <c r="U41" s="23">
        <v>13.68</v>
      </c>
      <c r="V41" s="23">
        <v>14.24</v>
      </c>
      <c r="W41" s="23">
        <f t="shared" si="36"/>
        <v>59917.536</v>
      </c>
      <c r="X41" s="23">
        <f t="shared" si="1"/>
        <v>91878.20860234913</v>
      </c>
      <c r="Y41" s="23">
        <f t="shared" si="2"/>
        <v>-31960.67260234913</v>
      </c>
      <c r="Z41" s="27">
        <v>35</v>
      </c>
      <c r="AA41" s="43" t="s">
        <v>69</v>
      </c>
      <c r="AB41" s="37">
        <v>17</v>
      </c>
      <c r="AC41" s="24">
        <f t="shared" si="3"/>
        <v>77862.88864605859</v>
      </c>
      <c r="AD41" s="15">
        <f t="shared" si="4"/>
        <v>12762.867314909428</v>
      </c>
      <c r="AE41" s="30">
        <f>0.13*1.078*0.997053</f>
        <v>0.13972700742000002</v>
      </c>
      <c r="AF41" s="15">
        <f t="shared" si="5"/>
        <v>9483.973419869411</v>
      </c>
      <c r="AG41" s="15">
        <f t="shared" si="6"/>
        <v>2864.159973824566</v>
      </c>
      <c r="AH41" s="30">
        <f t="shared" si="0"/>
        <v>12348.133393693977</v>
      </c>
      <c r="AI41" s="15">
        <f t="shared" si="7"/>
        <v>414.7339212154508</v>
      </c>
      <c r="AJ41" s="27">
        <v>35</v>
      </c>
      <c r="AK41" s="43" t="s">
        <v>69</v>
      </c>
      <c r="AL41" s="37">
        <v>17</v>
      </c>
      <c r="AM41" s="15">
        <f t="shared" si="8"/>
        <v>38838.45290248266</v>
      </c>
      <c r="AN41" s="30">
        <f>(0.146+0.018)*1.003*0.9976247</f>
        <v>0.16410128215239997</v>
      </c>
      <c r="AO41" s="15">
        <f t="shared" si="9"/>
        <v>23081.72491760739</v>
      </c>
      <c r="AP41" s="15">
        <f t="shared" si="10"/>
        <v>6970.680926784492</v>
      </c>
      <c r="AQ41" s="25">
        <f t="shared" si="11"/>
        <v>4499.653396516695</v>
      </c>
      <c r="AR41" s="26">
        <f t="shared" si="12"/>
        <v>294.1708532577729</v>
      </c>
      <c r="AS41" s="27">
        <v>35</v>
      </c>
      <c r="AT41" s="43" t="s">
        <v>69</v>
      </c>
      <c r="AU41" s="37">
        <v>17</v>
      </c>
      <c r="AV41" s="26">
        <f t="shared" si="13"/>
        <v>301.63184107184105</v>
      </c>
      <c r="AW41" s="15">
        <f t="shared" si="14"/>
        <v>301.63184107184105</v>
      </c>
      <c r="AX41" s="26"/>
      <c r="AY41" s="30"/>
      <c r="AZ41" s="23">
        <f t="shared" si="15"/>
        <v>0.01723952003098269</v>
      </c>
      <c r="BA41" s="23">
        <f t="shared" si="16"/>
        <v>2416.5414453733833</v>
      </c>
      <c r="BB41" s="23">
        <f t="shared" si="17"/>
        <v>729.7955236493265</v>
      </c>
      <c r="BC41" s="61">
        <f t="shared" si="18"/>
        <v>544.253998221764</v>
      </c>
      <c r="BD41" s="27">
        <v>35</v>
      </c>
      <c r="BE41" s="43" t="s">
        <v>69</v>
      </c>
      <c r="BF41" s="37">
        <v>17</v>
      </c>
      <c r="BG41" s="15">
        <f t="shared" si="19"/>
        <v>902.1629739358599</v>
      </c>
      <c r="BH41" s="26">
        <f t="shared" si="20"/>
        <v>287.06861650006226</v>
      </c>
      <c r="BI41" s="30"/>
      <c r="BJ41" s="30"/>
      <c r="BK41" s="30"/>
      <c r="BL41" s="30"/>
      <c r="BM41" s="27">
        <v>35</v>
      </c>
      <c r="BN41" s="43" t="s">
        <v>69</v>
      </c>
      <c r="BO41" s="37">
        <v>17</v>
      </c>
      <c r="BP41" s="15">
        <f t="shared" si="21"/>
        <v>44.50313698313698</v>
      </c>
      <c r="BQ41" s="30"/>
      <c r="BR41" s="30"/>
      <c r="BS41" s="15">
        <f t="shared" si="22"/>
        <v>274.7576715061553</v>
      </c>
      <c r="BT41" s="30"/>
      <c r="BU41" s="15">
        <f t="shared" si="23"/>
        <v>295.8335489465054</v>
      </c>
      <c r="BV41" s="27">
        <v>35</v>
      </c>
      <c r="BW41" s="43" t="s">
        <v>69</v>
      </c>
      <c r="BX41" s="37">
        <v>17</v>
      </c>
      <c r="BY41" s="18">
        <f t="shared" si="24"/>
        <v>15710.431815932592</v>
      </c>
      <c r="BZ41" s="18">
        <f t="shared" si="25"/>
        <v>0.062062272111537684</v>
      </c>
      <c r="CA41" s="15">
        <f t="shared" si="26"/>
        <v>11247.690512120564</v>
      </c>
      <c r="CB41" s="15">
        <f t="shared" si="27"/>
        <v>3396.8025268869537</v>
      </c>
      <c r="CC41" s="15">
        <f t="shared" si="28"/>
        <v>1065.9387769250761</v>
      </c>
      <c r="CD41" s="15">
        <f t="shared" si="29"/>
        <v>1140.2386868896617</v>
      </c>
      <c r="CE41" s="27">
        <v>35</v>
      </c>
      <c r="CF41" s="43" t="s">
        <v>69</v>
      </c>
      <c r="CG41" s="37">
        <v>17</v>
      </c>
      <c r="CH41" s="15">
        <f t="shared" si="30"/>
        <v>5377.247541237898</v>
      </c>
      <c r="CI41" s="15">
        <f t="shared" si="31"/>
        <v>1034.3848994412406</v>
      </c>
      <c r="CJ41" s="15">
        <f t="shared" si="32"/>
        <v>2013.9014531015448</v>
      </c>
      <c r="CK41" s="62">
        <f t="shared" si="33"/>
        <v>83.2010581277099</v>
      </c>
      <c r="CL41" s="67">
        <f t="shared" si="34"/>
        <v>20486.364</v>
      </c>
      <c r="CM41" s="67">
        <f t="shared" si="35"/>
        <v>17361.325423728817</v>
      </c>
      <c r="CN41" s="74"/>
    </row>
    <row r="42" spans="1:92" ht="11.25" customHeight="1">
      <c r="A42" s="27">
        <v>36</v>
      </c>
      <c r="B42" s="45" t="s">
        <v>70</v>
      </c>
      <c r="C42" s="29">
        <v>156</v>
      </c>
      <c r="D42" s="31">
        <v>1962</v>
      </c>
      <c r="E42" s="32">
        <v>1</v>
      </c>
      <c r="F42" s="32">
        <v>1</v>
      </c>
      <c r="G42" s="32"/>
      <c r="H42" s="32">
        <v>2</v>
      </c>
      <c r="I42" s="32"/>
      <c r="J42" s="33">
        <v>0</v>
      </c>
      <c r="K42" s="34">
        <v>29</v>
      </c>
      <c r="L42" s="35">
        <v>0</v>
      </c>
      <c r="M42" s="35">
        <v>876</v>
      </c>
      <c r="N42" s="35">
        <v>567</v>
      </c>
      <c r="O42" s="32"/>
      <c r="P42" s="27">
        <v>36</v>
      </c>
      <c r="Q42" s="43" t="s">
        <v>70</v>
      </c>
      <c r="R42" s="37">
        <v>156</v>
      </c>
      <c r="S42" s="30">
        <v>117.2</v>
      </c>
      <c r="T42" s="30">
        <v>117.2</v>
      </c>
      <c r="U42" s="23">
        <v>11.77</v>
      </c>
      <c r="V42" s="23">
        <v>12.25</v>
      </c>
      <c r="W42" s="23">
        <f t="shared" si="36"/>
        <v>16890.864</v>
      </c>
      <c r="X42" s="23">
        <f t="shared" si="1"/>
        <v>77251.78592556468</v>
      </c>
      <c r="Y42" s="23">
        <f t="shared" si="2"/>
        <v>-60360.921925564675</v>
      </c>
      <c r="Z42" s="27">
        <v>36</v>
      </c>
      <c r="AA42" s="43" t="s">
        <v>70</v>
      </c>
      <c r="AB42" s="37">
        <v>156</v>
      </c>
      <c r="AC42" s="24">
        <f t="shared" si="3"/>
        <v>65467.6151911565</v>
      </c>
      <c r="AD42" s="15">
        <f t="shared" si="4"/>
        <v>44179.15609007109</v>
      </c>
      <c r="AE42" s="30">
        <f>0.45*1.078*0.997053</f>
        <v>0.4836704103</v>
      </c>
      <c r="AF42" s="15">
        <f t="shared" si="5"/>
        <v>32829.13876108642</v>
      </c>
      <c r="AG42" s="15">
        <f t="shared" si="6"/>
        <v>9914.399909392727</v>
      </c>
      <c r="AH42" s="30">
        <f t="shared" si="0"/>
        <v>42743.538670479145</v>
      </c>
      <c r="AI42" s="15">
        <f t="shared" si="7"/>
        <v>1435.6174195919448</v>
      </c>
      <c r="AJ42" s="27">
        <v>36</v>
      </c>
      <c r="AK42" s="43" t="s">
        <v>70</v>
      </c>
      <c r="AL42" s="37">
        <v>156</v>
      </c>
      <c r="AM42" s="15">
        <f t="shared" si="8"/>
        <v>11568.776159219226</v>
      </c>
      <c r="AN42" s="30">
        <f>(0.028+0.018)*1.003*0.9976247</f>
        <v>0.046028408408599994</v>
      </c>
      <c r="AO42" s="15">
        <f t="shared" si="9"/>
        <v>6474.142354938658</v>
      </c>
      <c r="AP42" s="15">
        <f t="shared" si="10"/>
        <v>1955.190991659065</v>
      </c>
      <c r="AQ42" s="25">
        <f t="shared" si="11"/>
        <v>1636.745431631771</v>
      </c>
      <c r="AR42" s="26">
        <f t="shared" si="12"/>
        <v>84.83981997362534</v>
      </c>
      <c r="AS42" s="27">
        <v>36</v>
      </c>
      <c r="AT42" s="43" t="s">
        <v>70</v>
      </c>
      <c r="AU42" s="37">
        <v>156</v>
      </c>
      <c r="AV42" s="26">
        <f t="shared" si="13"/>
        <v>75.40796026796026</v>
      </c>
      <c r="AW42" s="15">
        <f t="shared" si="14"/>
        <v>75.40796026796026</v>
      </c>
      <c r="AX42" s="26"/>
      <c r="AY42" s="30"/>
      <c r="AZ42" s="23">
        <f t="shared" si="15"/>
        <v>0.006270862034857764</v>
      </c>
      <c r="BA42" s="23">
        <f t="shared" si="16"/>
        <v>879.0150757224102</v>
      </c>
      <c r="BB42" s="23">
        <f t="shared" si="17"/>
        <v>265.4625554677252</v>
      </c>
      <c r="BC42" s="61">
        <f t="shared" si="18"/>
        <v>197.9719695580098</v>
      </c>
      <c r="BD42" s="27">
        <v>36</v>
      </c>
      <c r="BE42" s="43" t="s">
        <v>70</v>
      </c>
      <c r="BF42" s="37">
        <v>156</v>
      </c>
      <c r="BG42" s="15">
        <f>BH42+BI42+BJ42+BK42+BL42+BP42+BQ42+BR42+BS42+BT42+BU42-0.02</f>
        <v>495.2288844657071</v>
      </c>
      <c r="BH42" s="26">
        <f t="shared" si="20"/>
        <v>104.42098651088546</v>
      </c>
      <c r="BI42" s="30"/>
      <c r="BJ42" s="30"/>
      <c r="BK42" s="30"/>
      <c r="BL42" s="30"/>
      <c r="BM42" s="27">
        <v>36</v>
      </c>
      <c r="BN42" s="43" t="s">
        <v>70</v>
      </c>
      <c r="BO42" s="37">
        <v>156</v>
      </c>
      <c r="BP42" s="15">
        <f t="shared" si="21"/>
        <v>11.125784245784246</v>
      </c>
      <c r="BQ42" s="30">
        <v>172.15</v>
      </c>
      <c r="BR42" s="30"/>
      <c r="BS42" s="15">
        <f t="shared" si="22"/>
        <v>99.94288982160585</v>
      </c>
      <c r="BT42" s="30"/>
      <c r="BU42" s="15">
        <f t="shared" si="23"/>
        <v>107.60922388743153</v>
      </c>
      <c r="BV42" s="27">
        <v>36</v>
      </c>
      <c r="BW42" s="43" t="s">
        <v>70</v>
      </c>
      <c r="BX42" s="37">
        <v>156</v>
      </c>
      <c r="BY42" s="18">
        <f>CA42+CB42+CC42-0.01</f>
        <v>5714.64738307666</v>
      </c>
      <c r="BZ42" s="18">
        <f t="shared" si="25"/>
        <v>0.022575103325487948</v>
      </c>
      <c r="CA42" s="15">
        <f t="shared" si="26"/>
        <v>4091.338696525543</v>
      </c>
      <c r="CB42" s="15">
        <f t="shared" si="27"/>
        <v>1235.5842835231254</v>
      </c>
      <c r="CC42" s="15">
        <f t="shared" si="28"/>
        <v>387.7344030279917</v>
      </c>
      <c r="CD42" s="15">
        <f t="shared" si="29"/>
        <v>414.7609376271519</v>
      </c>
      <c r="CE42" s="27">
        <v>36</v>
      </c>
      <c r="CF42" s="43" t="s">
        <v>70</v>
      </c>
      <c r="CG42" s="37">
        <v>156</v>
      </c>
      <c r="CH42" s="15">
        <f t="shared" si="30"/>
        <v>1955.9696208351386</v>
      </c>
      <c r="CI42" s="15">
        <f t="shared" si="31"/>
        <v>376.25670457639166</v>
      </c>
      <c r="CJ42" s="15">
        <f t="shared" si="32"/>
        <v>732.5550909481722</v>
      </c>
      <c r="CK42" s="62">
        <f t="shared" si="33"/>
        <v>30.264320336957173</v>
      </c>
      <c r="CL42" s="67">
        <f t="shared" si="34"/>
        <v>6715.5599999999995</v>
      </c>
      <c r="CM42" s="67">
        <f t="shared" si="35"/>
        <v>5691.152542372882</v>
      </c>
      <c r="CN42" s="74"/>
    </row>
    <row r="43" spans="1:92" ht="11.25" customHeight="1">
      <c r="A43" s="27">
        <v>37</v>
      </c>
      <c r="B43" s="27" t="s">
        <v>71</v>
      </c>
      <c r="C43" s="29">
        <v>1</v>
      </c>
      <c r="D43" s="31">
        <v>1994</v>
      </c>
      <c r="E43" s="32">
        <v>1</v>
      </c>
      <c r="F43" s="32">
        <v>14</v>
      </c>
      <c r="G43" s="32">
        <v>2</v>
      </c>
      <c r="H43" s="32">
        <v>93</v>
      </c>
      <c r="I43" s="32">
        <v>93</v>
      </c>
      <c r="J43" s="33">
        <v>708.2</v>
      </c>
      <c r="K43" s="34">
        <v>827</v>
      </c>
      <c r="L43" s="35">
        <v>0</v>
      </c>
      <c r="M43" s="35">
        <v>801</v>
      </c>
      <c r="N43" s="35">
        <v>200</v>
      </c>
      <c r="O43" s="32"/>
      <c r="P43" s="27">
        <v>37</v>
      </c>
      <c r="Q43" s="43" t="s">
        <v>71</v>
      </c>
      <c r="R43" s="37">
        <v>1</v>
      </c>
      <c r="S43" s="79">
        <v>4536.6</v>
      </c>
      <c r="T43" s="79">
        <v>4536.6</v>
      </c>
      <c r="U43" s="23">
        <v>26.31</v>
      </c>
      <c r="V43" s="23">
        <v>28.37</v>
      </c>
      <c r="W43" s="23">
        <f t="shared" si="36"/>
        <v>1488367.7280000001</v>
      </c>
      <c r="X43" s="23">
        <f t="shared" si="1"/>
        <v>1216871.5403441756</v>
      </c>
      <c r="Y43" s="23">
        <f t="shared" si="2"/>
        <v>271496.18765582447</v>
      </c>
      <c r="Z43" s="27">
        <v>37</v>
      </c>
      <c r="AA43" s="43" t="s">
        <v>71</v>
      </c>
      <c r="AB43" s="37">
        <v>1</v>
      </c>
      <c r="AC43" s="24">
        <f t="shared" si="3"/>
        <v>1031247.0680882846</v>
      </c>
      <c r="AD43" s="15">
        <f t="shared" si="4"/>
        <v>115847.56485840866</v>
      </c>
      <c r="AE43" s="30">
        <f>1.18*1.078*0.997053</f>
        <v>1.26829129812</v>
      </c>
      <c r="AF43" s="15">
        <f t="shared" si="5"/>
        <v>86085.29719573773</v>
      </c>
      <c r="AG43" s="15">
        <f t="shared" si="6"/>
        <v>25997.759762407597</v>
      </c>
      <c r="AH43" s="30">
        <f t="shared" si="0"/>
        <v>112083.05695814533</v>
      </c>
      <c r="AI43" s="15">
        <f t="shared" si="7"/>
        <v>3764.507900263322</v>
      </c>
      <c r="AJ43" s="27">
        <v>37</v>
      </c>
      <c r="AK43" s="43" t="s">
        <v>71</v>
      </c>
      <c r="AL43" s="37">
        <v>1</v>
      </c>
      <c r="AM43" s="15">
        <f t="shared" si="8"/>
        <v>310942.22675016825</v>
      </c>
      <c r="AN43" s="30">
        <f>(1.016+0.018)*1.003*0.9976247</f>
        <v>1.0346385716194</v>
      </c>
      <c r="AO43" s="15">
        <f t="shared" si="9"/>
        <v>145527.46076101248</v>
      </c>
      <c r="AP43" s="15">
        <f t="shared" si="10"/>
        <v>43949.29316033638</v>
      </c>
      <c r="AQ43" s="25">
        <f t="shared" si="11"/>
        <v>63355.45499266803</v>
      </c>
      <c r="AR43" s="26">
        <f t="shared" si="12"/>
        <v>2072.151960533871</v>
      </c>
      <c r="AS43" s="27">
        <v>37</v>
      </c>
      <c r="AT43" s="43" t="s">
        <v>71</v>
      </c>
      <c r="AU43" s="37">
        <v>1</v>
      </c>
      <c r="AV43" s="26">
        <f t="shared" si="13"/>
        <v>4074.0701524601523</v>
      </c>
      <c r="AW43" s="15">
        <f t="shared" si="14"/>
        <v>3506.4701524601523</v>
      </c>
      <c r="AX43" s="26">
        <f>283.8*G43</f>
        <v>567.6</v>
      </c>
      <c r="AY43" s="30"/>
      <c r="AZ43" s="23">
        <f t="shared" si="15"/>
        <v>0.24273372617180658</v>
      </c>
      <c r="BA43" s="23">
        <f t="shared" si="16"/>
        <v>34025.08355394442</v>
      </c>
      <c r="BB43" s="23">
        <f t="shared" si="17"/>
        <v>10275.575333915378</v>
      </c>
      <c r="BC43" s="61">
        <f t="shared" si="18"/>
        <v>7663.136835297502</v>
      </c>
      <c r="BD43" s="27">
        <v>37</v>
      </c>
      <c r="BE43" s="43" t="s">
        <v>71</v>
      </c>
      <c r="BF43" s="37">
        <v>1</v>
      </c>
      <c r="BG43" s="15">
        <f t="shared" si="19"/>
        <v>247394.95870835116</v>
      </c>
      <c r="BH43" s="26">
        <f t="shared" si="20"/>
        <v>4041.9475034580464</v>
      </c>
      <c r="BI43" s="30">
        <f>28000/37*2</f>
        <v>1513.5135135135135</v>
      </c>
      <c r="BJ43" s="30">
        <f>154631.87/37*2</f>
        <v>8358.479459459459</v>
      </c>
      <c r="BK43" s="30">
        <f>40879.494/37*2</f>
        <v>2209.7023783783784</v>
      </c>
      <c r="BL43" s="30">
        <f>4120320/37*2</f>
        <v>222720</v>
      </c>
      <c r="BM43" s="27">
        <v>37</v>
      </c>
      <c r="BN43" s="43" t="s">
        <v>71</v>
      </c>
      <c r="BO43" s="37">
        <v>1</v>
      </c>
      <c r="BP43" s="15">
        <f t="shared" si="21"/>
        <v>517.3489674289674</v>
      </c>
      <c r="BQ43" s="30"/>
      <c r="BR43" s="30"/>
      <c r="BS43" s="15">
        <f t="shared" si="22"/>
        <v>3868.6084809274494</v>
      </c>
      <c r="BT43" s="30"/>
      <c r="BU43" s="15">
        <f t="shared" si="23"/>
        <v>4165.35840518534</v>
      </c>
      <c r="BV43" s="27">
        <v>37</v>
      </c>
      <c r="BW43" s="43" t="s">
        <v>71</v>
      </c>
      <c r="BX43" s="37">
        <v>1</v>
      </c>
      <c r="BY43" s="18">
        <f t="shared" si="24"/>
        <v>221204.0502053377</v>
      </c>
      <c r="BZ43" s="18">
        <f t="shared" si="25"/>
        <v>0.8738414142185036</v>
      </c>
      <c r="CA43" s="15">
        <f t="shared" si="26"/>
        <v>158368.32022745546</v>
      </c>
      <c r="CB43" s="15">
        <f t="shared" si="27"/>
        <v>47827.232599240706</v>
      </c>
      <c r="CC43" s="15">
        <f t="shared" si="28"/>
        <v>15008.497378641527</v>
      </c>
      <c r="CD43" s="15">
        <f t="shared" si="29"/>
        <v>16054.64564538684</v>
      </c>
      <c r="CE43" s="27">
        <v>37</v>
      </c>
      <c r="CF43" s="43" t="s">
        <v>71</v>
      </c>
      <c r="CG43" s="37">
        <v>1</v>
      </c>
      <c r="CH43" s="15">
        <f t="shared" si="30"/>
        <v>75712.04592048371</v>
      </c>
      <c r="CI43" s="15">
        <f t="shared" si="31"/>
        <v>14564.216433287189</v>
      </c>
      <c r="CJ43" s="15">
        <f t="shared" si="32"/>
        <v>28355.882470951175</v>
      </c>
      <c r="CK43" s="62">
        <f t="shared" si="33"/>
        <v>1171.477095909897</v>
      </c>
      <c r="CL43" s="67">
        <f t="shared" si="34"/>
        <v>259947.18000000005</v>
      </c>
      <c r="CM43" s="67">
        <f t="shared" si="35"/>
        <v>220294.22033898308</v>
      </c>
      <c r="CN43" s="74"/>
    </row>
    <row r="44" spans="1:92" ht="11.25" customHeight="1">
      <c r="A44" s="27">
        <v>38</v>
      </c>
      <c r="B44" s="27" t="s">
        <v>71</v>
      </c>
      <c r="C44" s="37" t="s">
        <v>72</v>
      </c>
      <c r="D44" s="31">
        <v>1999</v>
      </c>
      <c r="E44" s="32">
        <v>1</v>
      </c>
      <c r="F44" s="32">
        <v>14</v>
      </c>
      <c r="G44" s="32">
        <v>2</v>
      </c>
      <c r="H44" s="32">
        <v>96</v>
      </c>
      <c r="I44" s="32">
        <v>96</v>
      </c>
      <c r="J44" s="33">
        <v>617.6</v>
      </c>
      <c r="K44" s="34">
        <v>2764</v>
      </c>
      <c r="L44" s="35">
        <v>714</v>
      </c>
      <c r="M44" s="35">
        <v>5281</v>
      </c>
      <c r="N44" s="35">
        <v>1847</v>
      </c>
      <c r="O44" s="32">
        <v>1</v>
      </c>
      <c r="P44" s="27">
        <v>38</v>
      </c>
      <c r="Q44" s="43" t="s">
        <v>71</v>
      </c>
      <c r="R44" s="37" t="s">
        <v>72</v>
      </c>
      <c r="S44" s="79">
        <v>4685.9</v>
      </c>
      <c r="T44" s="79">
        <v>4685.9</v>
      </c>
      <c r="U44" s="23">
        <v>26.31</v>
      </c>
      <c r="V44" s="23">
        <v>28.37</v>
      </c>
      <c r="W44" s="23">
        <f t="shared" si="36"/>
        <v>1537350.072</v>
      </c>
      <c r="X44" s="23">
        <f t="shared" si="1"/>
        <v>1412683.4277835274</v>
      </c>
      <c r="Y44" s="23">
        <f t="shared" si="2"/>
        <v>124666.64421647252</v>
      </c>
      <c r="Z44" s="27">
        <v>38</v>
      </c>
      <c r="AA44" s="43" t="s">
        <v>71</v>
      </c>
      <c r="AB44" s="37" t="s">
        <v>72</v>
      </c>
      <c r="AC44" s="24">
        <f t="shared" si="3"/>
        <v>1197189.3455792605</v>
      </c>
      <c r="AD44" s="15">
        <f t="shared" si="4"/>
        <v>199951.58793358106</v>
      </c>
      <c r="AE44" s="30">
        <f>(6.11/3)*1.078*0.997053</f>
        <v>2.1890564495800002</v>
      </c>
      <c r="AF44" s="15">
        <f t="shared" si="5"/>
        <v>148582.25024462078</v>
      </c>
      <c r="AG44" s="15">
        <f t="shared" si="6"/>
        <v>44871.8395899182</v>
      </c>
      <c r="AH44" s="30">
        <f t="shared" si="0"/>
        <v>193454.089834539</v>
      </c>
      <c r="AI44" s="15">
        <f t="shared" si="7"/>
        <v>6497.498099042062</v>
      </c>
      <c r="AJ44" s="27">
        <v>38</v>
      </c>
      <c r="AK44" s="43" t="s">
        <v>71</v>
      </c>
      <c r="AL44" s="37" t="s">
        <v>72</v>
      </c>
      <c r="AM44" s="15">
        <f t="shared" si="8"/>
        <v>380615.4130729417</v>
      </c>
      <c r="AN44" s="30">
        <f>((4.149+0.02)/3)*1.003*0.9976247</f>
        <v>1.3905248888076331</v>
      </c>
      <c r="AO44" s="15">
        <f t="shared" si="9"/>
        <v>195584.7788241976</v>
      </c>
      <c r="AP44" s="15">
        <f t="shared" si="10"/>
        <v>59066.60321903364</v>
      </c>
      <c r="AQ44" s="25">
        <f t="shared" si="11"/>
        <v>65440.48991538665</v>
      </c>
      <c r="AR44" s="26">
        <f t="shared" si="12"/>
        <v>2662.4291226073187</v>
      </c>
      <c r="AS44" s="27">
        <v>38</v>
      </c>
      <c r="AT44" s="43" t="s">
        <v>71</v>
      </c>
      <c r="AU44" s="37" t="s">
        <v>72</v>
      </c>
      <c r="AV44" s="26">
        <f t="shared" si="13"/>
        <v>4187.182092862093</v>
      </c>
      <c r="AW44" s="15">
        <f t="shared" si="14"/>
        <v>3619.5820928620924</v>
      </c>
      <c r="AX44" s="26">
        <f>283.8*G44</f>
        <v>567.6</v>
      </c>
      <c r="AY44" s="30"/>
      <c r="AZ44" s="23">
        <f t="shared" si="15"/>
        <v>0.2507221195319112</v>
      </c>
      <c r="BA44" s="23">
        <f t="shared" si="16"/>
        <v>35144.85275876828</v>
      </c>
      <c r="BB44" s="23">
        <f t="shared" si="17"/>
        <v>10613.745637083735</v>
      </c>
      <c r="BC44" s="61">
        <f t="shared" si="18"/>
        <v>7915.331503002372</v>
      </c>
      <c r="BD44" s="27">
        <v>38</v>
      </c>
      <c r="BE44" s="43" t="s">
        <v>71</v>
      </c>
      <c r="BF44" s="37" t="s">
        <v>72</v>
      </c>
      <c r="BG44" s="15">
        <f t="shared" si="19"/>
        <v>247809.0670422525</v>
      </c>
      <c r="BH44" s="26">
        <f t="shared" si="20"/>
        <v>4174.9684359330895</v>
      </c>
      <c r="BI44" s="30">
        <f>28000/37*2</f>
        <v>1513.5135135135135</v>
      </c>
      <c r="BJ44" s="30">
        <f>154631.87/37*2</f>
        <v>8358.479459459459</v>
      </c>
      <c r="BK44" s="30">
        <f>40879.494/37*2</f>
        <v>2209.7023783783784</v>
      </c>
      <c r="BL44" s="30">
        <f>4120320/37*2</f>
        <v>222720</v>
      </c>
      <c r="BM44" s="27">
        <v>38</v>
      </c>
      <c r="BN44" s="43" t="s">
        <v>71</v>
      </c>
      <c r="BO44" s="37" t="s">
        <v>72</v>
      </c>
      <c r="BP44" s="15">
        <f t="shared" si="21"/>
        <v>534.0376437976438</v>
      </c>
      <c r="BQ44" s="30"/>
      <c r="BR44" s="30"/>
      <c r="BS44" s="15">
        <f t="shared" si="22"/>
        <v>3995.9248072957575</v>
      </c>
      <c r="BT44" s="30"/>
      <c r="BU44" s="15">
        <f t="shared" si="23"/>
        <v>4302.440803874704</v>
      </c>
      <c r="BV44" s="27">
        <v>38</v>
      </c>
      <c r="BW44" s="43" t="s">
        <v>71</v>
      </c>
      <c r="BX44" s="37" t="s">
        <v>72</v>
      </c>
      <c r="BY44" s="18">
        <f t="shared" si="24"/>
        <v>228483.8995849737</v>
      </c>
      <c r="BZ44" s="18">
        <f t="shared" si="25"/>
        <v>0.9025996303148802</v>
      </c>
      <c r="CA44" s="15">
        <f t="shared" si="26"/>
        <v>163580.23889120342</v>
      </c>
      <c r="CB44" s="15">
        <f t="shared" si="27"/>
        <v>49401.23203209055</v>
      </c>
      <c r="CC44" s="15">
        <f t="shared" si="28"/>
        <v>15502.428661679744</v>
      </c>
      <c r="CD44" s="15">
        <f t="shared" si="29"/>
        <v>16583.005781800948</v>
      </c>
      <c r="CE44" s="27">
        <v>38</v>
      </c>
      <c r="CF44" s="43" t="s">
        <v>71</v>
      </c>
      <c r="CG44" s="37" t="s">
        <v>72</v>
      </c>
      <c r="CH44" s="15">
        <f t="shared" si="30"/>
        <v>78203.73759617214</v>
      </c>
      <c r="CI44" s="15">
        <f t="shared" si="31"/>
        <v>15043.5263820351</v>
      </c>
      <c r="CJ44" s="15">
        <f t="shared" si="32"/>
        <v>29289.077650802385</v>
      </c>
      <c r="CK44" s="62">
        <f t="shared" si="33"/>
        <v>1210.0305347009182</v>
      </c>
      <c r="CL44" s="67">
        <f t="shared" si="34"/>
        <v>268502.06999999995</v>
      </c>
      <c r="CM44" s="67">
        <f t="shared" si="35"/>
        <v>227544.12711864404</v>
      </c>
      <c r="CN44" s="74"/>
    </row>
    <row r="45" spans="1:92" ht="11.25" customHeight="1">
      <c r="A45" s="27"/>
      <c r="B45" s="27" t="s">
        <v>71</v>
      </c>
      <c r="C45" s="37" t="s">
        <v>73</v>
      </c>
      <c r="D45" s="31">
        <v>1989</v>
      </c>
      <c r="E45" s="32">
        <v>1</v>
      </c>
      <c r="F45" s="32">
        <v>14</v>
      </c>
      <c r="G45" s="32">
        <v>2</v>
      </c>
      <c r="H45" s="32">
        <v>96</v>
      </c>
      <c r="I45" s="32">
        <v>96</v>
      </c>
      <c r="J45" s="33">
        <v>617.6</v>
      </c>
      <c r="K45" s="34"/>
      <c r="L45" s="35"/>
      <c r="M45" s="35"/>
      <c r="N45" s="35"/>
      <c r="O45" s="32">
        <v>1</v>
      </c>
      <c r="P45" s="27"/>
      <c r="Q45" s="43" t="s">
        <v>71</v>
      </c>
      <c r="R45" s="37" t="s">
        <v>73</v>
      </c>
      <c r="S45" s="30">
        <v>4820.95</v>
      </c>
      <c r="T45" s="30">
        <v>4820.95</v>
      </c>
      <c r="U45" s="23">
        <v>27.64</v>
      </c>
      <c r="V45" s="23">
        <v>29.77</v>
      </c>
      <c r="W45" s="23">
        <f t="shared" si="36"/>
        <v>1660624.437</v>
      </c>
      <c r="X45" s="23">
        <f t="shared" si="1"/>
        <v>1429714.9953879393</v>
      </c>
      <c r="Y45" s="23">
        <f t="shared" si="2"/>
        <v>230909.44161206065</v>
      </c>
      <c r="Z45" s="27"/>
      <c r="AA45" s="43" t="s">
        <v>71</v>
      </c>
      <c r="AB45" s="37" t="s">
        <v>73</v>
      </c>
      <c r="AC45" s="24">
        <f t="shared" si="3"/>
        <v>1211622.8774474063</v>
      </c>
      <c r="AD45" s="15">
        <f t="shared" si="4"/>
        <v>199951.58793358106</v>
      </c>
      <c r="AE45" s="30">
        <f>(6.11/3)*1.078*0.997053</f>
        <v>2.1890564495800002</v>
      </c>
      <c r="AF45" s="15">
        <f t="shared" si="5"/>
        <v>148582.25024462078</v>
      </c>
      <c r="AG45" s="15">
        <f t="shared" si="6"/>
        <v>44871.8395899182</v>
      </c>
      <c r="AH45" s="30">
        <f t="shared" si="0"/>
        <v>193454.089834539</v>
      </c>
      <c r="AI45" s="15">
        <f t="shared" si="7"/>
        <v>6497.498099042062</v>
      </c>
      <c r="AJ45" s="27"/>
      <c r="AK45" s="43" t="s">
        <v>71</v>
      </c>
      <c r="AL45" s="37" t="s">
        <v>73</v>
      </c>
      <c r="AM45" s="15">
        <f t="shared" si="8"/>
        <v>384060.07260203746</v>
      </c>
      <c r="AN45" s="30">
        <f>((4.149+0.02)/3)*1.003*0.9976247</f>
        <v>1.3905248888076331</v>
      </c>
      <c r="AO45" s="15">
        <f t="shared" si="9"/>
        <v>195584.7788241976</v>
      </c>
      <c r="AP45" s="15">
        <f t="shared" si="10"/>
        <v>59066.60321903364</v>
      </c>
      <c r="AQ45" s="25">
        <f t="shared" si="11"/>
        <v>67326.51782103401</v>
      </c>
      <c r="AR45" s="26">
        <f t="shared" si="12"/>
        <v>2674.151031200506</v>
      </c>
      <c r="AS45" s="27"/>
      <c r="AT45" s="43" t="s">
        <v>71</v>
      </c>
      <c r="AU45" s="37" t="s">
        <v>73</v>
      </c>
      <c r="AV45" s="26">
        <f t="shared" si="13"/>
        <v>4187.182092862093</v>
      </c>
      <c r="AW45" s="15">
        <f t="shared" si="14"/>
        <v>3619.5820928620924</v>
      </c>
      <c r="AX45" s="26">
        <f>283.8*G45</f>
        <v>567.6</v>
      </c>
      <c r="AY45" s="30"/>
      <c r="AZ45" s="23">
        <f t="shared" si="15"/>
        <v>0.25794805739716326</v>
      </c>
      <c r="BA45" s="23">
        <f t="shared" si="16"/>
        <v>36157.74513057981</v>
      </c>
      <c r="BB45" s="23">
        <f t="shared" si="17"/>
        <v>10919.639136366297</v>
      </c>
      <c r="BC45" s="61">
        <f t="shared" si="18"/>
        <v>8143.455346763543</v>
      </c>
      <c r="BD45" s="27"/>
      <c r="BE45" s="43" t="s">
        <v>71</v>
      </c>
      <c r="BF45" s="37" t="s">
        <v>73</v>
      </c>
      <c r="BG45" s="15">
        <f t="shared" si="19"/>
        <v>248168.55481686603</v>
      </c>
      <c r="BH45" s="26">
        <f t="shared" si="20"/>
        <v>4295.293130713765</v>
      </c>
      <c r="BI45" s="30">
        <f>28000/37*2</f>
        <v>1513.5135135135135</v>
      </c>
      <c r="BJ45" s="30">
        <f>154631.87/37*2</f>
        <v>8358.479459459459</v>
      </c>
      <c r="BK45" s="30">
        <f>40879.494/37*2</f>
        <v>2209.7023783783784</v>
      </c>
      <c r="BL45" s="30">
        <f>4120320/37*2</f>
        <v>222720</v>
      </c>
      <c r="BM45" s="27"/>
      <c r="BN45" s="43" t="s">
        <v>71</v>
      </c>
      <c r="BO45" s="37" t="s">
        <v>73</v>
      </c>
      <c r="BP45" s="15">
        <f t="shared" si="21"/>
        <v>534.0376437976438</v>
      </c>
      <c r="BQ45" s="30"/>
      <c r="BR45" s="30"/>
      <c r="BS45" s="15">
        <f t="shared" si="22"/>
        <v>4111.089374449409</v>
      </c>
      <c r="BT45" s="30"/>
      <c r="BU45" s="15">
        <f t="shared" si="23"/>
        <v>4426.439316553865</v>
      </c>
      <c r="BV45" s="27"/>
      <c r="BW45" s="43" t="s">
        <v>71</v>
      </c>
      <c r="BX45" s="37" t="s">
        <v>73</v>
      </c>
      <c r="BY45" s="18">
        <f t="shared" si="24"/>
        <v>235068.92074183805</v>
      </c>
      <c r="BZ45" s="18">
        <f t="shared" si="25"/>
        <v>0.9286130066297876</v>
      </c>
      <c r="CA45" s="15">
        <f t="shared" si="26"/>
        <v>168294.70383118442</v>
      </c>
      <c r="CB45" s="15">
        <f t="shared" si="27"/>
        <v>50825.00044070657</v>
      </c>
      <c r="CC45" s="15">
        <f t="shared" si="28"/>
        <v>15949.216469947067</v>
      </c>
      <c r="CD45" s="15">
        <f t="shared" si="29"/>
        <v>17060.93636735169</v>
      </c>
      <c r="CE45" s="27"/>
      <c r="CF45" s="43" t="s">
        <v>71</v>
      </c>
      <c r="CG45" s="37" t="s">
        <v>73</v>
      </c>
      <c r="CH45" s="15">
        <f t="shared" si="30"/>
        <v>80457.60873349113</v>
      </c>
      <c r="CI45" s="15">
        <f t="shared" si="31"/>
        <v>15477.088395286308</v>
      </c>
      <c r="CJ45" s="15">
        <f t="shared" si="32"/>
        <v>30133.203632308792</v>
      </c>
      <c r="CK45" s="62">
        <f t="shared" si="33"/>
        <v>1244.9042246455092</v>
      </c>
      <c r="CL45" s="67">
        <f t="shared" si="34"/>
        <v>276240.43499999994</v>
      </c>
      <c r="CM45" s="67">
        <f t="shared" si="35"/>
        <v>234102.06355932198</v>
      </c>
      <c r="CN45" s="74"/>
    </row>
    <row r="46" spans="1:92" ht="11.25" customHeight="1">
      <c r="A46" s="27"/>
      <c r="B46" s="27" t="s">
        <v>71</v>
      </c>
      <c r="C46" s="37" t="s">
        <v>74</v>
      </c>
      <c r="D46" s="31">
        <v>1989</v>
      </c>
      <c r="E46" s="32">
        <v>1</v>
      </c>
      <c r="F46" s="32">
        <v>14</v>
      </c>
      <c r="G46" s="32">
        <v>2</v>
      </c>
      <c r="H46" s="32">
        <v>96</v>
      </c>
      <c r="I46" s="32">
        <v>96</v>
      </c>
      <c r="J46" s="33">
        <v>617.6</v>
      </c>
      <c r="K46" s="34"/>
      <c r="L46" s="35"/>
      <c r="M46" s="35"/>
      <c r="N46" s="35"/>
      <c r="O46" s="32"/>
      <c r="P46" s="27"/>
      <c r="Q46" s="43" t="s">
        <v>71</v>
      </c>
      <c r="R46" s="37" t="s">
        <v>74</v>
      </c>
      <c r="S46" s="30">
        <v>4826.7</v>
      </c>
      <c r="T46" s="30">
        <v>4826.7</v>
      </c>
      <c r="U46" s="23">
        <v>27.64</v>
      </c>
      <c r="V46" s="23">
        <v>29.77</v>
      </c>
      <c r="W46" s="23">
        <f t="shared" si="36"/>
        <v>1662605.082</v>
      </c>
      <c r="X46" s="23">
        <f t="shared" si="1"/>
        <v>1502175.260034036</v>
      </c>
      <c r="Y46" s="23">
        <f t="shared" si="2"/>
        <v>160429.82196596405</v>
      </c>
      <c r="Z46" s="27"/>
      <c r="AA46" s="43" t="s">
        <v>71</v>
      </c>
      <c r="AB46" s="37" t="s">
        <v>74</v>
      </c>
      <c r="AC46" s="24">
        <f t="shared" si="3"/>
        <v>1273029.8813847762</v>
      </c>
      <c r="AD46" s="15">
        <f t="shared" si="4"/>
        <v>199951.58793358106</v>
      </c>
      <c r="AE46" s="30">
        <f>(6.11/3)*1.078*0.997053</f>
        <v>2.1890564495800002</v>
      </c>
      <c r="AF46" s="15">
        <f t="shared" si="5"/>
        <v>148582.25024462078</v>
      </c>
      <c r="AG46" s="15">
        <f t="shared" si="6"/>
        <v>44871.8395899182</v>
      </c>
      <c r="AH46" s="30">
        <f t="shared" si="0"/>
        <v>193454.089834539</v>
      </c>
      <c r="AI46" s="15">
        <f t="shared" si="7"/>
        <v>6497.498099042062</v>
      </c>
      <c r="AJ46" s="27"/>
      <c r="AK46" s="43" t="s">
        <v>71</v>
      </c>
      <c r="AL46" s="37" t="s">
        <v>74</v>
      </c>
      <c r="AM46" s="15">
        <f t="shared" si="8"/>
        <v>384206.7352624765</v>
      </c>
      <c r="AN46" s="30">
        <f>((4.149+0.02)/3)*1.003*0.9976247</f>
        <v>1.3905248888076331</v>
      </c>
      <c r="AO46" s="15">
        <f t="shared" si="9"/>
        <v>195584.7788241976</v>
      </c>
      <c r="AP46" s="15">
        <f t="shared" si="10"/>
        <v>59066.60321903364</v>
      </c>
      <c r="AQ46" s="25">
        <f t="shared" si="11"/>
        <v>67406.81889809786</v>
      </c>
      <c r="AR46" s="26">
        <f t="shared" si="12"/>
        <v>2674.6501128325745</v>
      </c>
      <c r="AS46" s="27"/>
      <c r="AT46" s="43" t="s">
        <v>71</v>
      </c>
      <c r="AU46" s="37" t="s">
        <v>74</v>
      </c>
      <c r="AV46" s="26">
        <f t="shared" si="13"/>
        <v>4187.182092862093</v>
      </c>
      <c r="AW46" s="15">
        <f t="shared" si="14"/>
        <v>3619.5820928620924</v>
      </c>
      <c r="AX46" s="26">
        <f>283.8*G46</f>
        <v>567.6</v>
      </c>
      <c r="AY46" s="30"/>
      <c r="AZ46" s="23">
        <f t="shared" si="15"/>
        <v>0.25825571487754234</v>
      </c>
      <c r="BA46" s="23">
        <f t="shared" si="16"/>
        <v>36200.87087021636</v>
      </c>
      <c r="BB46" s="23">
        <f t="shared" si="17"/>
        <v>10932.663109864072</v>
      </c>
      <c r="BC46" s="61">
        <f t="shared" si="18"/>
        <v>8153.168135372404</v>
      </c>
      <c r="BD46" s="27"/>
      <c r="BE46" s="43" t="s">
        <v>71</v>
      </c>
      <c r="BF46" s="37" t="s">
        <v>74</v>
      </c>
      <c r="BG46" s="15">
        <f t="shared" si="19"/>
        <v>308976.33066435973</v>
      </c>
      <c r="BH46" s="26">
        <f t="shared" si="20"/>
        <v>4300.416173993949</v>
      </c>
      <c r="BI46" s="30">
        <f>28000/37*2</f>
        <v>1513.5135135135135</v>
      </c>
      <c r="BJ46" s="30">
        <f>154631.87/37*2</f>
        <v>8358.479459459459</v>
      </c>
      <c r="BK46" s="30">
        <f>40879.494/37*2</f>
        <v>2209.7023783783784</v>
      </c>
      <c r="BL46" s="30">
        <f>4120320/37*2</f>
        <v>222720</v>
      </c>
      <c r="BM46" s="27"/>
      <c r="BN46" s="43" t="s">
        <v>71</v>
      </c>
      <c r="BO46" s="37" t="s">
        <v>74</v>
      </c>
      <c r="BP46" s="15">
        <f t="shared" si="21"/>
        <v>534.0376437976438</v>
      </c>
      <c r="BQ46" s="30"/>
      <c r="BR46" s="30">
        <v>60792.47</v>
      </c>
      <c r="BS46" s="15">
        <f t="shared" si="22"/>
        <v>4115.992715886901</v>
      </c>
      <c r="BT46" s="30"/>
      <c r="BU46" s="15">
        <f t="shared" si="23"/>
        <v>4431.718779329912</v>
      </c>
      <c r="BV46" s="27"/>
      <c r="BW46" s="43" t="s">
        <v>71</v>
      </c>
      <c r="BX46" s="37" t="s">
        <v>74</v>
      </c>
      <c r="BY46" s="18">
        <f t="shared" si="24"/>
        <v>235349.29002471088</v>
      </c>
      <c r="BZ46" s="18">
        <f t="shared" si="25"/>
        <v>0.9297205735591525</v>
      </c>
      <c r="CA46" s="15">
        <f t="shared" si="26"/>
        <v>168495.43077235357</v>
      </c>
      <c r="CB46" s="15">
        <f t="shared" si="27"/>
        <v>50885.619976800925</v>
      </c>
      <c r="CC46" s="15">
        <f t="shared" si="28"/>
        <v>15968.239275556378</v>
      </c>
      <c r="CD46" s="15">
        <f t="shared" si="29"/>
        <v>17081.28513348954</v>
      </c>
      <c r="CE46" s="27"/>
      <c r="CF46" s="43" t="s">
        <v>71</v>
      </c>
      <c r="CG46" s="37" t="s">
        <v>74</v>
      </c>
      <c r="CH46" s="15">
        <f t="shared" si="30"/>
        <v>80553.57140686829</v>
      </c>
      <c r="CI46" s="15">
        <f t="shared" si="31"/>
        <v>15495.548088556907</v>
      </c>
      <c r="CJ46" s="15">
        <f t="shared" si="32"/>
        <v>30169.143835149676</v>
      </c>
      <c r="CK46" s="62">
        <f t="shared" si="33"/>
        <v>1246.3890355835424</v>
      </c>
      <c r="CL46" s="67">
        <f t="shared" si="34"/>
        <v>276569.91000000003</v>
      </c>
      <c r="CM46" s="67">
        <f t="shared" si="35"/>
        <v>234381.27966101698</v>
      </c>
      <c r="CN46" s="74"/>
    </row>
    <row r="47" spans="1:92" ht="11.25" customHeight="1">
      <c r="A47" s="27">
        <v>39</v>
      </c>
      <c r="B47" s="27" t="s">
        <v>71</v>
      </c>
      <c r="C47" s="29">
        <v>4</v>
      </c>
      <c r="D47" s="31">
        <v>1971</v>
      </c>
      <c r="E47" s="32">
        <v>6</v>
      </c>
      <c r="F47" s="32">
        <v>5</v>
      </c>
      <c r="G47" s="32"/>
      <c r="H47" s="32">
        <v>100</v>
      </c>
      <c r="I47" s="32"/>
      <c r="J47" s="33">
        <v>471</v>
      </c>
      <c r="K47" s="34">
        <f>467+98</f>
        <v>565</v>
      </c>
      <c r="L47" s="35">
        <v>376</v>
      </c>
      <c r="M47" s="35">
        <v>0</v>
      </c>
      <c r="N47" s="35">
        <v>3114</v>
      </c>
      <c r="O47" s="32"/>
      <c r="P47" s="27">
        <v>39</v>
      </c>
      <c r="Q47" s="43" t="s">
        <v>71</v>
      </c>
      <c r="R47" s="37">
        <v>4</v>
      </c>
      <c r="S47" s="79">
        <v>4518.7</v>
      </c>
      <c r="T47" s="79">
        <v>4518.7</v>
      </c>
      <c r="U47" s="23">
        <v>20.35</v>
      </c>
      <c r="V47" s="23">
        <v>21.98</v>
      </c>
      <c r="W47" s="23">
        <f t="shared" si="36"/>
        <v>1147659.426</v>
      </c>
      <c r="X47" s="23">
        <f t="shared" si="1"/>
        <v>1068970.0728117023</v>
      </c>
      <c r="Y47" s="23">
        <f t="shared" si="2"/>
        <v>78689.35318829771</v>
      </c>
      <c r="Z47" s="27">
        <v>39</v>
      </c>
      <c r="AA47" s="43" t="s">
        <v>71</v>
      </c>
      <c r="AB47" s="37">
        <v>4</v>
      </c>
      <c r="AC47" s="24">
        <f t="shared" si="3"/>
        <v>905906.8413658494</v>
      </c>
      <c r="AD47" s="15">
        <f t="shared" si="4"/>
        <v>124683.39607642285</v>
      </c>
      <c r="AE47" s="30">
        <f>1.27*1.078*0.997053</f>
        <v>1.36502538018</v>
      </c>
      <c r="AF47" s="15">
        <f t="shared" si="5"/>
        <v>92651.124947955</v>
      </c>
      <c r="AG47" s="15">
        <f t="shared" si="6"/>
        <v>27980.639744286138</v>
      </c>
      <c r="AH47" s="30">
        <f t="shared" si="0"/>
        <v>120631.76469224114</v>
      </c>
      <c r="AI47" s="15">
        <f t="shared" si="7"/>
        <v>4051.631384181711</v>
      </c>
      <c r="AJ47" s="27">
        <v>39</v>
      </c>
      <c r="AK47" s="43" t="s">
        <v>71</v>
      </c>
      <c r="AL47" s="37">
        <v>4</v>
      </c>
      <c r="AM47" s="15">
        <f t="shared" si="8"/>
        <v>399843.7326282715</v>
      </c>
      <c r="AN47" s="30">
        <f>(1.499+0.02)*1.003*0.9976247</f>
        <v>1.5199380950579</v>
      </c>
      <c r="AO47" s="15">
        <f t="shared" si="9"/>
        <v>213787.43993808312</v>
      </c>
      <c r="AP47" s="15">
        <f t="shared" si="10"/>
        <v>64563.80687674174</v>
      </c>
      <c r="AQ47" s="25">
        <f t="shared" si="11"/>
        <v>63105.47424841709</v>
      </c>
      <c r="AR47" s="26">
        <f t="shared" si="12"/>
        <v>2857.8506599878415</v>
      </c>
      <c r="AS47" s="27">
        <v>39</v>
      </c>
      <c r="AT47" s="43" t="s">
        <v>71</v>
      </c>
      <c r="AU47" s="37">
        <v>4</v>
      </c>
      <c r="AV47" s="26">
        <f t="shared" si="13"/>
        <v>3770.398013398013</v>
      </c>
      <c r="AW47" s="15">
        <f t="shared" si="14"/>
        <v>3770.398013398013</v>
      </c>
      <c r="AX47" s="26"/>
      <c r="AY47" s="30"/>
      <c r="AZ47" s="23">
        <f t="shared" si="15"/>
        <v>0.2417759750589742</v>
      </c>
      <c r="BA47" s="23">
        <f t="shared" si="16"/>
        <v>33890.831251423675</v>
      </c>
      <c r="BB47" s="23">
        <f t="shared" si="17"/>
        <v>10235.031138157081</v>
      </c>
      <c r="BC47" s="61">
        <f t="shared" si="18"/>
        <v>7632.900502062959</v>
      </c>
      <c r="BD47" s="27">
        <v>39</v>
      </c>
      <c r="BE47" s="43" t="s">
        <v>71</v>
      </c>
      <c r="BF47" s="37">
        <v>4</v>
      </c>
      <c r="BG47" s="15">
        <f t="shared" si="19"/>
        <v>25726.25074839469</v>
      </c>
      <c r="BH47" s="26">
        <f t="shared" si="20"/>
        <v>4025.9992469858203</v>
      </c>
      <c r="BI47" s="30"/>
      <c r="BJ47" s="30"/>
      <c r="BK47" s="30"/>
      <c r="BL47" s="30"/>
      <c r="BM47" s="27">
        <v>39</v>
      </c>
      <c r="BN47" s="43" t="s">
        <v>71</v>
      </c>
      <c r="BO47" s="37">
        <v>4</v>
      </c>
      <c r="BP47" s="15">
        <f t="shared" si="21"/>
        <v>556.2892122892123</v>
      </c>
      <c r="BQ47" s="30"/>
      <c r="BR47" s="30"/>
      <c r="BS47" s="15">
        <f t="shared" si="22"/>
        <v>3853.3441658437737</v>
      </c>
      <c r="BT47" s="30">
        <f>19384*100/118*0.8</f>
        <v>13141.694915254237</v>
      </c>
      <c r="BU47" s="15">
        <f t="shared" si="23"/>
        <v>4148.923208021645</v>
      </c>
      <c r="BV47" s="27">
        <v>39</v>
      </c>
      <c r="BW47" s="43" t="s">
        <v>71</v>
      </c>
      <c r="BX47" s="37">
        <v>4</v>
      </c>
      <c r="BY47" s="18">
        <f t="shared" si="24"/>
        <v>220331.24843778586</v>
      </c>
      <c r="BZ47" s="18">
        <f t="shared" si="25"/>
        <v>0.870393510212307</v>
      </c>
      <c r="CA47" s="15">
        <f t="shared" si="26"/>
        <v>157743.44853233764</v>
      </c>
      <c r="CB47" s="15">
        <f t="shared" si="27"/>
        <v>47638.52134774698</v>
      </c>
      <c r="CC47" s="15">
        <f t="shared" si="28"/>
        <v>14949.278557701246</v>
      </c>
      <c r="CD47" s="15">
        <f t="shared" si="29"/>
        <v>15991.299051670745</v>
      </c>
      <c r="CE47" s="27">
        <v>39</v>
      </c>
      <c r="CF47" s="43" t="s">
        <v>71</v>
      </c>
      <c r="CG47" s="37">
        <v>4</v>
      </c>
      <c r="CH47" s="15">
        <f t="shared" si="30"/>
        <v>75413.30994597048</v>
      </c>
      <c r="CI47" s="15">
        <f t="shared" si="31"/>
        <v>14506.750605540452</v>
      </c>
      <c r="CJ47" s="15">
        <f t="shared" si="32"/>
        <v>28243.999056889978</v>
      </c>
      <c r="CK47" s="62">
        <f t="shared" si="33"/>
        <v>1166.8548149028018</v>
      </c>
      <c r="CL47" s="67">
        <f t="shared" si="34"/>
        <v>258921.51</v>
      </c>
      <c r="CM47" s="67">
        <f t="shared" si="35"/>
        <v>219425.00847457626</v>
      </c>
      <c r="CN47" s="74"/>
    </row>
    <row r="48" spans="1:92" ht="11.25" customHeight="1">
      <c r="A48" s="27">
        <v>40</v>
      </c>
      <c r="B48" s="27" t="s">
        <v>71</v>
      </c>
      <c r="C48" s="29">
        <v>8</v>
      </c>
      <c r="D48" s="31">
        <v>1971</v>
      </c>
      <c r="E48" s="32">
        <v>6</v>
      </c>
      <c r="F48" s="32">
        <v>5</v>
      </c>
      <c r="G48" s="32"/>
      <c r="H48" s="32">
        <v>90</v>
      </c>
      <c r="I48" s="32"/>
      <c r="J48" s="33">
        <v>476.5</v>
      </c>
      <c r="K48" s="34">
        <f>461+223</f>
        <v>684</v>
      </c>
      <c r="L48" s="35">
        <v>0</v>
      </c>
      <c r="M48" s="35">
        <v>1521</v>
      </c>
      <c r="N48" s="35">
        <v>2474</v>
      </c>
      <c r="O48" s="32"/>
      <c r="P48" s="27">
        <v>40</v>
      </c>
      <c r="Q48" s="43" t="s">
        <v>71</v>
      </c>
      <c r="R48" s="37">
        <v>8</v>
      </c>
      <c r="S48" s="79">
        <v>4412.7</v>
      </c>
      <c r="T48" s="79">
        <v>4412.7</v>
      </c>
      <c r="U48" s="23">
        <v>20.35</v>
      </c>
      <c r="V48" s="23">
        <v>21.98</v>
      </c>
      <c r="W48" s="23">
        <f t="shared" si="36"/>
        <v>1120737.546</v>
      </c>
      <c r="X48" s="23">
        <f t="shared" si="1"/>
        <v>1008805.3150563254</v>
      </c>
      <c r="Y48" s="23">
        <f t="shared" si="2"/>
        <v>111932.23094367469</v>
      </c>
      <c r="Z48" s="27">
        <v>40</v>
      </c>
      <c r="AA48" s="43" t="s">
        <v>71</v>
      </c>
      <c r="AB48" s="37">
        <v>8</v>
      </c>
      <c r="AC48" s="24">
        <f t="shared" si="3"/>
        <v>854919.7585223097</v>
      </c>
      <c r="AD48" s="15">
        <f t="shared" si="4"/>
        <v>171807.82923916538</v>
      </c>
      <c r="AE48" s="30">
        <f>1.75*1.078*0.997053</f>
        <v>1.8809404845</v>
      </c>
      <c r="AF48" s="15">
        <f t="shared" si="5"/>
        <v>127668.87295978052</v>
      </c>
      <c r="AG48" s="15">
        <f t="shared" si="6"/>
        <v>38555.99964763838</v>
      </c>
      <c r="AH48" s="30">
        <f t="shared" si="0"/>
        <v>166224.87260741892</v>
      </c>
      <c r="AI48" s="15">
        <f t="shared" si="7"/>
        <v>5582.956631746452</v>
      </c>
      <c r="AJ48" s="27">
        <v>40</v>
      </c>
      <c r="AK48" s="43" t="s">
        <v>71</v>
      </c>
      <c r="AL48" s="37">
        <v>8</v>
      </c>
      <c r="AM48" s="15">
        <f t="shared" si="8"/>
        <v>323554.6457375488</v>
      </c>
      <c r="AN48" s="30">
        <f>(1.105+0.018)*1.003*0.9976247</f>
        <v>1.1236935357143</v>
      </c>
      <c r="AO48" s="15">
        <f t="shared" si="9"/>
        <v>158053.5187955677</v>
      </c>
      <c r="AP48" s="15">
        <f t="shared" si="10"/>
        <v>47732.16268767675</v>
      </c>
      <c r="AQ48" s="25">
        <f t="shared" si="11"/>
        <v>61625.141349500984</v>
      </c>
      <c r="AR48" s="26">
        <f t="shared" si="12"/>
        <v>2205.8627028019782</v>
      </c>
      <c r="AS48" s="27">
        <v>40</v>
      </c>
      <c r="AT48" s="43" t="s">
        <v>71</v>
      </c>
      <c r="AU48" s="37">
        <v>8</v>
      </c>
      <c r="AV48" s="26">
        <f t="shared" si="13"/>
        <v>3393.358212058212</v>
      </c>
      <c r="AW48" s="15">
        <f t="shared" si="14"/>
        <v>3393.358212058212</v>
      </c>
      <c r="AX48" s="26"/>
      <c r="AY48" s="30"/>
      <c r="AZ48" s="23">
        <f t="shared" si="15"/>
        <v>0.23610437629024617</v>
      </c>
      <c r="BA48" s="23">
        <f t="shared" si="16"/>
        <v>33095.81761638464</v>
      </c>
      <c r="BB48" s="23">
        <f t="shared" si="17"/>
        <v>9994.937018024157</v>
      </c>
      <c r="BC48" s="61">
        <f t="shared" si="18"/>
        <v>7453.8473555343835</v>
      </c>
      <c r="BD48" s="27">
        <v>40</v>
      </c>
      <c r="BE48" s="43" t="s">
        <v>71</v>
      </c>
      <c r="BF48" s="37">
        <v>8</v>
      </c>
      <c r="BG48" s="15">
        <f t="shared" si="19"/>
        <v>12246.766940722864</v>
      </c>
      <c r="BH48" s="26">
        <f t="shared" si="20"/>
        <v>3931.557057820685</v>
      </c>
      <c r="BI48" s="30"/>
      <c r="BJ48" s="30"/>
      <c r="BK48" s="30"/>
      <c r="BL48" s="30"/>
      <c r="BM48" s="27">
        <v>40</v>
      </c>
      <c r="BN48" s="43" t="s">
        <v>71</v>
      </c>
      <c r="BO48" s="37">
        <v>8</v>
      </c>
      <c r="BP48" s="15">
        <f t="shared" si="21"/>
        <v>500.66029106029106</v>
      </c>
      <c r="BQ48" s="30"/>
      <c r="BR48" s="30"/>
      <c r="BS48" s="15">
        <f t="shared" si="22"/>
        <v>3762.952132387373</v>
      </c>
      <c r="BT48" s="30"/>
      <c r="BU48" s="15">
        <f t="shared" si="23"/>
        <v>4051.597459454514</v>
      </c>
      <c r="BV48" s="27">
        <v>40</v>
      </c>
      <c r="BW48" s="43" t="s">
        <v>71</v>
      </c>
      <c r="BX48" s="37">
        <v>8</v>
      </c>
      <c r="BY48" s="18">
        <f t="shared" si="24"/>
        <v>215162.7016578701</v>
      </c>
      <c r="BZ48" s="18">
        <f t="shared" si="25"/>
        <v>0.8499757546448862</v>
      </c>
      <c r="CA48" s="15">
        <f t="shared" si="26"/>
        <v>154043.0910081763</v>
      </c>
      <c r="CB48" s="15">
        <f t="shared" si="27"/>
        <v>46521.01337800763</v>
      </c>
      <c r="CC48" s="15">
        <f t="shared" si="28"/>
        <v>14598.597271686167</v>
      </c>
      <c r="CD48" s="15">
        <f t="shared" si="29"/>
        <v>15616.173971564276</v>
      </c>
      <c r="CE48" s="27">
        <v>40</v>
      </c>
      <c r="CF48" s="43" t="s">
        <v>71</v>
      </c>
      <c r="CG48" s="37">
        <v>8</v>
      </c>
      <c r="CH48" s="15">
        <f t="shared" si="30"/>
        <v>73644.25892371344</v>
      </c>
      <c r="CI48" s="15">
        <f t="shared" si="31"/>
        <v>14166.45017307375</v>
      </c>
      <c r="CJ48" s="15">
        <f t="shared" si="32"/>
        <v>27581.449230605795</v>
      </c>
      <c r="CK48" s="62">
        <f t="shared" si="33"/>
        <v>1139.4826480451443</v>
      </c>
      <c r="CL48" s="67">
        <f t="shared" si="34"/>
        <v>252847.71</v>
      </c>
      <c r="CM48" s="67">
        <f t="shared" si="35"/>
        <v>214277.72033898305</v>
      </c>
      <c r="CN48" s="74"/>
    </row>
    <row r="49" spans="1:92" ht="11.25" customHeight="1">
      <c r="A49" s="27">
        <v>41</v>
      </c>
      <c r="B49" s="27" t="s">
        <v>71</v>
      </c>
      <c r="C49" s="29" t="s">
        <v>75</v>
      </c>
      <c r="D49" s="40" t="s">
        <v>76</v>
      </c>
      <c r="E49" s="32">
        <v>2</v>
      </c>
      <c r="F49" s="32">
        <v>9</v>
      </c>
      <c r="G49" s="32">
        <v>2</v>
      </c>
      <c r="H49" s="32">
        <v>72</v>
      </c>
      <c r="I49" s="32"/>
      <c r="J49" s="33">
        <v>458.8</v>
      </c>
      <c r="K49" s="34">
        <f>343+560</f>
        <v>903</v>
      </c>
      <c r="L49" s="35">
        <v>0</v>
      </c>
      <c r="M49" s="35">
        <v>0</v>
      </c>
      <c r="N49" s="35">
        <v>4078</v>
      </c>
      <c r="O49" s="32"/>
      <c r="P49" s="27">
        <v>41</v>
      </c>
      <c r="Q49" s="43" t="s">
        <v>71</v>
      </c>
      <c r="R49" s="37" t="s">
        <v>75</v>
      </c>
      <c r="S49" s="79">
        <v>3934.9</v>
      </c>
      <c r="T49" s="79">
        <v>3934.9</v>
      </c>
      <c r="U49" s="23">
        <v>26.31</v>
      </c>
      <c r="V49" s="23">
        <v>27.79</v>
      </c>
      <c r="W49" s="23">
        <f t="shared" si="36"/>
        <v>1277268.54</v>
      </c>
      <c r="X49" s="23">
        <f t="shared" si="1"/>
        <v>1193551.2838544603</v>
      </c>
      <c r="Y49" s="23">
        <f t="shared" si="2"/>
        <v>83717.2561455397</v>
      </c>
      <c r="Z49" s="27">
        <v>41</v>
      </c>
      <c r="AA49" s="43" t="s">
        <v>71</v>
      </c>
      <c r="AB49" s="37" t="s">
        <v>75</v>
      </c>
      <c r="AC49" s="24">
        <f t="shared" si="3"/>
        <v>1011484.1388597123</v>
      </c>
      <c r="AD49" s="15">
        <f t="shared" si="4"/>
        <v>121738.11900375146</v>
      </c>
      <c r="AE49" s="30">
        <f>1.24*1.078*0.997053</f>
        <v>1.33278068616</v>
      </c>
      <c r="AF49" s="15">
        <f t="shared" si="5"/>
        <v>90462.51569721592</v>
      </c>
      <c r="AG49" s="15">
        <f t="shared" si="6"/>
        <v>27319.679750326628</v>
      </c>
      <c r="AH49" s="30">
        <f t="shared" si="0"/>
        <v>117782.19544754254</v>
      </c>
      <c r="AI49" s="15">
        <f t="shared" si="7"/>
        <v>3955.9235562089148</v>
      </c>
      <c r="AJ49" s="27">
        <v>41</v>
      </c>
      <c r="AK49" s="43" t="s">
        <v>71</v>
      </c>
      <c r="AL49" s="37" t="s">
        <v>75</v>
      </c>
      <c r="AM49" s="15">
        <f t="shared" si="8"/>
        <v>334365.24190725206</v>
      </c>
      <c r="AN49" s="30">
        <f>(1.228+0.02)*1.003*0.9976247</f>
        <v>1.2487707324768</v>
      </c>
      <c r="AO49" s="15">
        <f t="shared" si="9"/>
        <v>175646.296933988</v>
      </c>
      <c r="AP49" s="15">
        <f t="shared" si="10"/>
        <v>53045.1816867503</v>
      </c>
      <c r="AQ49" s="25">
        <f t="shared" si="11"/>
        <v>54952.47098061311</v>
      </c>
      <c r="AR49" s="26">
        <f t="shared" si="12"/>
        <v>2367.291282466777</v>
      </c>
      <c r="AS49" s="27">
        <v>41</v>
      </c>
      <c r="AT49" s="43" t="s">
        <v>71</v>
      </c>
      <c r="AU49" s="37" t="s">
        <v>75</v>
      </c>
      <c r="AV49" s="26">
        <f t="shared" si="13"/>
        <v>3282.286569646569</v>
      </c>
      <c r="AW49" s="15">
        <f t="shared" si="14"/>
        <v>2714.6865696465693</v>
      </c>
      <c r="AX49" s="26">
        <f>283.8*G49</f>
        <v>567.6</v>
      </c>
      <c r="AY49" s="30"/>
      <c r="AZ49" s="23">
        <f t="shared" si="15"/>
        <v>0.21053937731196087</v>
      </c>
      <c r="BA49" s="23">
        <f t="shared" si="16"/>
        <v>29512.256155803003</v>
      </c>
      <c r="BB49" s="23">
        <f t="shared" si="17"/>
        <v>8912.70144633065</v>
      </c>
      <c r="BC49" s="61">
        <f t="shared" si="18"/>
        <v>6646.756851653692</v>
      </c>
      <c r="BD49" s="27">
        <v>41</v>
      </c>
      <c r="BE49" s="43" t="s">
        <v>71</v>
      </c>
      <c r="BF49" s="37" t="s">
        <v>75</v>
      </c>
      <c r="BG49" s="15">
        <f t="shared" si="19"/>
        <v>245676.48085429665</v>
      </c>
      <c r="BH49" s="26">
        <f t="shared" si="20"/>
        <v>3505.8544353385937</v>
      </c>
      <c r="BI49" s="30">
        <f>28000/37*2</f>
        <v>1513.5135135135135</v>
      </c>
      <c r="BJ49" s="30">
        <f>154631.87/37*2</f>
        <v>8358.479459459459</v>
      </c>
      <c r="BK49" s="30">
        <f>40879.494/37*2</f>
        <v>2209.7023783783784</v>
      </c>
      <c r="BL49" s="30">
        <f>4120320/37*2</f>
        <v>222720</v>
      </c>
      <c r="BM49" s="27">
        <v>41</v>
      </c>
      <c r="BN49" s="43" t="s">
        <v>71</v>
      </c>
      <c r="BO49" s="37" t="s">
        <v>75</v>
      </c>
      <c r="BP49" s="15">
        <f t="shared" si="21"/>
        <v>400.52823284823285</v>
      </c>
      <c r="BQ49" s="30"/>
      <c r="BR49" s="30"/>
      <c r="BS49" s="15">
        <f t="shared" si="22"/>
        <v>3355.5057778074815</v>
      </c>
      <c r="BT49" s="30"/>
      <c r="BU49" s="15">
        <f t="shared" si="23"/>
        <v>3612.897056950975</v>
      </c>
      <c r="BV49" s="27">
        <v>41</v>
      </c>
      <c r="BW49" s="43" t="s">
        <v>71</v>
      </c>
      <c r="BX49" s="37" t="s">
        <v>75</v>
      </c>
      <c r="BY49" s="18">
        <f t="shared" si="24"/>
        <v>191865.23324802346</v>
      </c>
      <c r="BZ49" s="18">
        <f t="shared" si="25"/>
        <v>0.7579417583230591</v>
      </c>
      <c r="CA49" s="15">
        <f t="shared" si="26"/>
        <v>137363.5549228529</v>
      </c>
      <c r="CB49" s="15">
        <f t="shared" si="27"/>
        <v>41483.79349176746</v>
      </c>
      <c r="CC49" s="15">
        <f t="shared" si="28"/>
        <v>13017.88483340311</v>
      </c>
      <c r="CD49" s="15">
        <f t="shared" si="29"/>
        <v>13925.27997840512</v>
      </c>
      <c r="CE49" s="27">
        <v>41</v>
      </c>
      <c r="CF49" s="43" t="s">
        <v>71</v>
      </c>
      <c r="CG49" s="37" t="s">
        <v>75</v>
      </c>
      <c r="CH49" s="15">
        <f t="shared" si="30"/>
        <v>65670.17799508692</v>
      </c>
      <c r="CI49" s="15">
        <f t="shared" si="31"/>
        <v>12632.529921822897</v>
      </c>
      <c r="CJ49" s="15">
        <f t="shared" si="32"/>
        <v>24594.974636279545</v>
      </c>
      <c r="CK49" s="62">
        <f t="shared" si="33"/>
        <v>1016.1013147943071</v>
      </c>
      <c r="CL49" s="67">
        <f t="shared" si="34"/>
        <v>225469.77000000002</v>
      </c>
      <c r="CM49" s="67">
        <f t="shared" si="35"/>
        <v>191076.07627118644</v>
      </c>
      <c r="CN49" s="74"/>
    </row>
    <row r="50" spans="1:92" ht="11.25" customHeight="1">
      <c r="A50" s="27">
        <v>42</v>
      </c>
      <c r="B50" s="27" t="s">
        <v>71</v>
      </c>
      <c r="C50" s="29">
        <v>10</v>
      </c>
      <c r="D50" s="31">
        <v>1968</v>
      </c>
      <c r="E50" s="32">
        <v>6</v>
      </c>
      <c r="F50" s="32">
        <v>5</v>
      </c>
      <c r="G50" s="32"/>
      <c r="H50" s="32">
        <v>80</v>
      </c>
      <c r="I50" s="32"/>
      <c r="J50" s="33">
        <v>564.3</v>
      </c>
      <c r="K50" s="34">
        <f>1344</f>
        <v>1344</v>
      </c>
      <c r="L50" s="35">
        <v>0</v>
      </c>
      <c r="M50" s="35">
        <v>0</v>
      </c>
      <c r="N50" s="35">
        <v>4051</v>
      </c>
      <c r="O50" s="32"/>
      <c r="P50" s="27">
        <v>42</v>
      </c>
      <c r="Q50" s="43" t="s">
        <v>71</v>
      </c>
      <c r="R50" s="37">
        <v>10</v>
      </c>
      <c r="S50" s="79">
        <v>3645.4</v>
      </c>
      <c r="T50" s="79">
        <v>3645.4</v>
      </c>
      <c r="U50" s="23">
        <v>20.35</v>
      </c>
      <c r="V50" s="23">
        <v>21.98</v>
      </c>
      <c r="W50" s="23">
        <f t="shared" si="36"/>
        <v>925858.6920000002</v>
      </c>
      <c r="X50" s="23">
        <f t="shared" si="1"/>
        <v>945783.9678241295</v>
      </c>
      <c r="Y50" s="23">
        <f t="shared" si="2"/>
        <v>-19925.27582412935</v>
      </c>
      <c r="Z50" s="27">
        <v>42</v>
      </c>
      <c r="AA50" s="43" t="s">
        <v>71</v>
      </c>
      <c r="AB50" s="37">
        <v>10</v>
      </c>
      <c r="AC50" s="24">
        <f t="shared" si="3"/>
        <v>801511.8371390929</v>
      </c>
      <c r="AD50" s="15">
        <f t="shared" si="4"/>
        <v>156099.68485158452</v>
      </c>
      <c r="AE50" s="30">
        <f>1.59*1.078*0.997053</f>
        <v>1.70896878306</v>
      </c>
      <c r="AF50" s="15">
        <f t="shared" si="5"/>
        <v>115996.29028917202</v>
      </c>
      <c r="AG50" s="15">
        <f t="shared" si="6"/>
        <v>35030.879679854304</v>
      </c>
      <c r="AH50" s="30">
        <f t="shared" si="0"/>
        <v>151027.16996902632</v>
      </c>
      <c r="AI50" s="15">
        <f t="shared" si="7"/>
        <v>5072.514882558205</v>
      </c>
      <c r="AJ50" s="27">
        <v>42</v>
      </c>
      <c r="AK50" s="43" t="s">
        <v>71</v>
      </c>
      <c r="AL50" s="37">
        <v>10</v>
      </c>
      <c r="AM50" s="15">
        <f t="shared" si="8"/>
        <v>348344.8682351737</v>
      </c>
      <c r="AN50" s="30">
        <f>(1.347+0.018)*1.003*0.9976247</f>
        <v>1.3658429886465</v>
      </c>
      <c r="AO50" s="15">
        <f t="shared" si="9"/>
        <v>192113.13727154935</v>
      </c>
      <c r="AP50" s="15">
        <f t="shared" si="10"/>
        <v>58018.167469883134</v>
      </c>
      <c r="AQ50" s="25">
        <f t="shared" si="11"/>
        <v>50909.48631800732</v>
      </c>
      <c r="AR50" s="26">
        <f t="shared" si="12"/>
        <v>2532.0780946460927</v>
      </c>
      <c r="AS50" s="27">
        <v>42</v>
      </c>
      <c r="AT50" s="43" t="s">
        <v>71</v>
      </c>
      <c r="AU50" s="37">
        <v>10</v>
      </c>
      <c r="AV50" s="26">
        <f t="shared" si="13"/>
        <v>3016.3184107184106</v>
      </c>
      <c r="AW50" s="15">
        <f t="shared" si="14"/>
        <v>3016.3184107184106</v>
      </c>
      <c r="AX50" s="26"/>
      <c r="AY50" s="30"/>
      <c r="AZ50" s="23">
        <f t="shared" si="15"/>
        <v>0.195049491995482</v>
      </c>
      <c r="BA50" s="23">
        <f t="shared" si="16"/>
        <v>27340.968916710528</v>
      </c>
      <c r="BB50" s="23">
        <f t="shared" si="17"/>
        <v>8256.97269370346</v>
      </c>
      <c r="BC50" s="61">
        <f t="shared" si="18"/>
        <v>6157.739059955366</v>
      </c>
      <c r="BD50" s="27">
        <v>42</v>
      </c>
      <c r="BE50" s="43" t="s">
        <v>71</v>
      </c>
      <c r="BF50" s="37">
        <v>10</v>
      </c>
      <c r="BG50" s="15">
        <f t="shared" si="19"/>
        <v>10148.67249220088</v>
      </c>
      <c r="BH50" s="26">
        <f t="shared" si="20"/>
        <v>3247.9203432319273</v>
      </c>
      <c r="BI50" s="30"/>
      <c r="BJ50" s="30"/>
      <c r="BK50" s="30"/>
      <c r="BL50" s="30"/>
      <c r="BM50" s="27">
        <v>42</v>
      </c>
      <c r="BN50" s="43" t="s">
        <v>71</v>
      </c>
      <c r="BO50" s="37">
        <v>10</v>
      </c>
      <c r="BP50" s="15">
        <f t="shared" si="21"/>
        <v>445.03136983136983</v>
      </c>
      <c r="BQ50" s="30"/>
      <c r="BR50" s="30"/>
      <c r="BS50" s="15">
        <f t="shared" si="22"/>
        <v>3108.6331958675933</v>
      </c>
      <c r="BT50" s="30"/>
      <c r="BU50" s="15">
        <f t="shared" si="23"/>
        <v>3347.0875832699903</v>
      </c>
      <c r="BV50" s="27">
        <v>42</v>
      </c>
      <c r="BW50" s="43" t="s">
        <v>71</v>
      </c>
      <c r="BX50" s="37">
        <v>10</v>
      </c>
      <c r="BY50" s="18">
        <f t="shared" si="24"/>
        <v>177749.24935381958</v>
      </c>
      <c r="BZ50" s="18">
        <f t="shared" si="25"/>
        <v>0.7021781711837352</v>
      </c>
      <c r="CA50" s="15">
        <f t="shared" si="26"/>
        <v>127257.38979790286</v>
      </c>
      <c r="CB50" s="15">
        <f t="shared" si="27"/>
        <v>38431.73163101707</v>
      </c>
      <c r="CC50" s="15">
        <f t="shared" si="28"/>
        <v>12060.127924899665</v>
      </c>
      <c r="CD50" s="15">
        <f t="shared" si="29"/>
        <v>12900.763839812455</v>
      </c>
      <c r="CE50" s="27">
        <v>42</v>
      </c>
      <c r="CF50" s="43" t="s">
        <v>71</v>
      </c>
      <c r="CG50" s="37">
        <v>10</v>
      </c>
      <c r="CH50" s="15">
        <f t="shared" si="30"/>
        <v>60838.66600505473</v>
      </c>
      <c r="CI50" s="15">
        <f t="shared" si="31"/>
        <v>11703.124495416196</v>
      </c>
      <c r="CJ50" s="15">
        <f t="shared" si="32"/>
        <v>22785.46355411661</v>
      </c>
      <c r="CK50" s="62">
        <f t="shared" si="33"/>
        <v>941.3443119141953</v>
      </c>
      <c r="CL50" s="67">
        <f t="shared" si="34"/>
        <v>208881.42</v>
      </c>
      <c r="CM50" s="67">
        <f t="shared" si="35"/>
        <v>177018.15254237287</v>
      </c>
      <c r="CN50" s="74"/>
    </row>
    <row r="51" spans="1:92" ht="11.25" customHeight="1">
      <c r="A51" s="27">
        <v>43</v>
      </c>
      <c r="B51" s="27" t="s">
        <v>71</v>
      </c>
      <c r="C51" s="29" t="s">
        <v>77</v>
      </c>
      <c r="D51" s="31">
        <v>1969</v>
      </c>
      <c r="E51" s="32">
        <v>6</v>
      </c>
      <c r="F51" s="32">
        <v>5</v>
      </c>
      <c r="G51" s="32"/>
      <c r="H51" s="32">
        <v>90</v>
      </c>
      <c r="I51" s="32"/>
      <c r="J51" s="33">
        <v>490.3</v>
      </c>
      <c r="K51" s="34">
        <f>347+319+35</f>
        <v>701</v>
      </c>
      <c r="L51" s="35">
        <v>0</v>
      </c>
      <c r="M51" s="35">
        <v>0</v>
      </c>
      <c r="N51" s="35">
        <v>4527</v>
      </c>
      <c r="O51" s="32"/>
      <c r="P51" s="27">
        <v>43</v>
      </c>
      <c r="Q51" s="43" t="s">
        <v>71</v>
      </c>
      <c r="R51" s="37" t="s">
        <v>77</v>
      </c>
      <c r="S51" s="30">
        <v>4402.1</v>
      </c>
      <c r="T51" s="30">
        <v>4402.1</v>
      </c>
      <c r="U51" s="23">
        <v>20.35</v>
      </c>
      <c r="V51" s="23">
        <v>21.98</v>
      </c>
      <c r="W51" s="23">
        <f t="shared" si="36"/>
        <v>1118045.3580000002</v>
      </c>
      <c r="X51" s="23">
        <f t="shared" si="1"/>
        <v>964823.0638147254</v>
      </c>
      <c r="Y51" s="23">
        <f t="shared" si="2"/>
        <v>153222.29418527486</v>
      </c>
      <c r="Z51" s="27">
        <v>43</v>
      </c>
      <c r="AA51" s="43" t="s">
        <v>71</v>
      </c>
      <c r="AB51" s="37" t="s">
        <v>77</v>
      </c>
      <c r="AC51" s="24">
        <f t="shared" si="3"/>
        <v>817646.6642497673</v>
      </c>
      <c r="AD51" s="15">
        <f t="shared" si="4"/>
        <v>135482.74534288468</v>
      </c>
      <c r="AE51" s="30">
        <f>1.38*1.078*0.997053</f>
        <v>1.4832559249200001</v>
      </c>
      <c r="AF51" s="15">
        <f t="shared" si="5"/>
        <v>100676.02553399836</v>
      </c>
      <c r="AG51" s="15">
        <f t="shared" si="6"/>
        <v>30404.159722137698</v>
      </c>
      <c r="AH51" s="30">
        <f t="shared" si="0"/>
        <v>131080.18525613606</v>
      </c>
      <c r="AI51" s="15">
        <f t="shared" si="7"/>
        <v>4402.560086748631</v>
      </c>
      <c r="AJ51" s="27">
        <v>43</v>
      </c>
      <c r="AK51" s="43" t="s">
        <v>71</v>
      </c>
      <c r="AL51" s="37" t="s">
        <v>77</v>
      </c>
      <c r="AM51" s="15">
        <f t="shared" si="8"/>
        <v>323469.1458891949</v>
      </c>
      <c r="AN51" s="30">
        <f>(1.104+0.02)*1.003*0.9976247</f>
        <v>1.1246941532884</v>
      </c>
      <c r="AO51" s="15">
        <f t="shared" si="9"/>
        <v>158194.26102067507</v>
      </c>
      <c r="AP51" s="15">
        <f t="shared" si="10"/>
        <v>47774.666839669335</v>
      </c>
      <c r="AQ51" s="25">
        <f t="shared" si="11"/>
        <v>61477.10805960938</v>
      </c>
      <c r="AR51" s="26">
        <f t="shared" si="12"/>
        <v>2206.565857409817</v>
      </c>
      <c r="AS51" s="27">
        <v>43</v>
      </c>
      <c r="AT51" s="43" t="s">
        <v>71</v>
      </c>
      <c r="AU51" s="37" t="s">
        <v>77</v>
      </c>
      <c r="AV51" s="26">
        <f t="shared" si="13"/>
        <v>3393.358212058212</v>
      </c>
      <c r="AW51" s="15">
        <f t="shared" si="14"/>
        <v>3393.358212058212</v>
      </c>
      <c r="AX51" s="26"/>
      <c r="AY51" s="30"/>
      <c r="AZ51" s="23">
        <f t="shared" si="15"/>
        <v>0.2355372164133734</v>
      </c>
      <c r="BA51" s="23">
        <f t="shared" si="16"/>
        <v>33016.31625288074</v>
      </c>
      <c r="BB51" s="23">
        <f t="shared" si="17"/>
        <v>9970.927606010864</v>
      </c>
      <c r="BC51" s="61">
        <f t="shared" si="18"/>
        <v>7435.942040881527</v>
      </c>
      <c r="BD51" s="27">
        <v>43</v>
      </c>
      <c r="BE51" s="43" t="s">
        <v>71</v>
      </c>
      <c r="BF51" s="37" t="s">
        <v>77</v>
      </c>
      <c r="BG51" s="15">
        <f t="shared" si="19"/>
        <v>12218.550943603997</v>
      </c>
      <c r="BH51" s="26">
        <f t="shared" si="20"/>
        <v>3922.112838904172</v>
      </c>
      <c r="BI51" s="30"/>
      <c r="BJ51" s="30"/>
      <c r="BK51" s="30"/>
      <c r="BL51" s="30"/>
      <c r="BM51" s="27">
        <v>43</v>
      </c>
      <c r="BN51" s="43" t="s">
        <v>71</v>
      </c>
      <c r="BO51" s="37" t="s">
        <v>77</v>
      </c>
      <c r="BP51" s="15">
        <f t="shared" si="21"/>
        <v>500.66029106029106</v>
      </c>
      <c r="BQ51" s="30"/>
      <c r="BR51" s="30"/>
      <c r="BS51" s="15">
        <f t="shared" si="22"/>
        <v>3753.912929041733</v>
      </c>
      <c r="BT51" s="30"/>
      <c r="BU51" s="15">
        <f t="shared" si="23"/>
        <v>4041.8648845978014</v>
      </c>
      <c r="BV51" s="27">
        <v>43</v>
      </c>
      <c r="BW51" s="43" t="s">
        <v>71</v>
      </c>
      <c r="BX51" s="37" t="s">
        <v>77</v>
      </c>
      <c r="BY51" s="18">
        <f t="shared" si="24"/>
        <v>214645.84697987852</v>
      </c>
      <c r="BZ51" s="18">
        <f t="shared" si="25"/>
        <v>0.8479339790881442</v>
      </c>
      <c r="CA51" s="15">
        <f t="shared" si="26"/>
        <v>153673.05525576018</v>
      </c>
      <c r="CB51" s="15">
        <f t="shared" si="27"/>
        <v>46409.2625810337</v>
      </c>
      <c r="CC51" s="15">
        <f t="shared" si="28"/>
        <v>14563.529143084661</v>
      </c>
      <c r="CD51" s="15">
        <f t="shared" si="29"/>
        <v>15578.661463553632</v>
      </c>
      <c r="CE51" s="27">
        <v>43</v>
      </c>
      <c r="CF51" s="43" t="s">
        <v>71</v>
      </c>
      <c r="CG51" s="37" t="s">
        <v>77</v>
      </c>
      <c r="CH51" s="15">
        <f t="shared" si="30"/>
        <v>73467.35382148775</v>
      </c>
      <c r="CI51" s="15">
        <f t="shared" si="31"/>
        <v>14132.42012982708</v>
      </c>
      <c r="CJ51" s="15">
        <f t="shared" si="32"/>
        <v>27515.19424797738</v>
      </c>
      <c r="CK51" s="62">
        <f t="shared" si="33"/>
        <v>1136.7454313593787</v>
      </c>
      <c r="CL51" s="67">
        <f t="shared" si="34"/>
        <v>252240.33000000002</v>
      </c>
      <c r="CM51" s="67">
        <f t="shared" si="35"/>
        <v>213762.99152542374</v>
      </c>
      <c r="CN51" s="74"/>
    </row>
    <row r="52" spans="1:92" ht="11.25" customHeight="1">
      <c r="A52" s="27">
        <v>44</v>
      </c>
      <c r="B52" s="27" t="s">
        <v>71</v>
      </c>
      <c r="C52" s="29" t="s">
        <v>78</v>
      </c>
      <c r="D52" s="31">
        <v>1969</v>
      </c>
      <c r="E52" s="32">
        <v>6</v>
      </c>
      <c r="F52" s="32">
        <v>5</v>
      </c>
      <c r="G52" s="32"/>
      <c r="H52" s="32">
        <v>90</v>
      </c>
      <c r="I52" s="32"/>
      <c r="J52" s="33">
        <v>493.2</v>
      </c>
      <c r="K52" s="34">
        <f>388+279+464</f>
        <v>1131</v>
      </c>
      <c r="L52" s="35">
        <v>0</v>
      </c>
      <c r="M52" s="35">
        <v>0</v>
      </c>
      <c r="N52" s="35">
        <v>4782</v>
      </c>
      <c r="O52" s="32"/>
      <c r="P52" s="27">
        <v>44</v>
      </c>
      <c r="Q52" s="43" t="s">
        <v>71</v>
      </c>
      <c r="R52" s="37" t="s">
        <v>78</v>
      </c>
      <c r="S52" s="30">
        <f>4375.1</f>
        <v>4375.1</v>
      </c>
      <c r="T52" s="30">
        <f>4375.1</f>
        <v>4375.1</v>
      </c>
      <c r="U52" s="23">
        <v>20.35</v>
      </c>
      <c r="V52" s="23">
        <v>21.98</v>
      </c>
      <c r="W52" s="23">
        <f t="shared" si="36"/>
        <v>1111187.898</v>
      </c>
      <c r="X52" s="23">
        <f t="shared" si="1"/>
        <v>978140.7078475413</v>
      </c>
      <c r="Y52" s="23">
        <f t="shared" si="2"/>
        <v>133047.19015245873</v>
      </c>
      <c r="Z52" s="27">
        <v>44</v>
      </c>
      <c r="AA52" s="43" t="s">
        <v>71</v>
      </c>
      <c r="AB52" s="37" t="s">
        <v>78</v>
      </c>
      <c r="AC52" s="24">
        <f t="shared" si="3"/>
        <v>828932.8032606283</v>
      </c>
      <c r="AD52" s="15">
        <f t="shared" si="4"/>
        <v>150209.1307062417</v>
      </c>
      <c r="AE52" s="30">
        <f>1.53*1.078*0.997053</f>
        <v>1.64447939502</v>
      </c>
      <c r="AF52" s="15">
        <f t="shared" si="5"/>
        <v>111619.07178769383</v>
      </c>
      <c r="AG52" s="15">
        <f t="shared" si="6"/>
        <v>33708.95969193527</v>
      </c>
      <c r="AH52" s="30">
        <f t="shared" si="0"/>
        <v>145328.0314796291</v>
      </c>
      <c r="AI52" s="15">
        <f t="shared" si="7"/>
        <v>4881.099226612612</v>
      </c>
      <c r="AJ52" s="27">
        <v>44</v>
      </c>
      <c r="AK52" s="43" t="s">
        <v>71</v>
      </c>
      <c r="AL52" s="37" t="s">
        <v>78</v>
      </c>
      <c r="AM52" s="15">
        <f t="shared" si="8"/>
        <v>322225.86031533143</v>
      </c>
      <c r="AN52" s="30">
        <f>(1.101+0.02)*1.003*0.9976247</f>
        <v>1.1216923005661</v>
      </c>
      <c r="AO52" s="15">
        <f t="shared" si="9"/>
        <v>157772.03434535296</v>
      </c>
      <c r="AP52" s="15">
        <f t="shared" si="10"/>
        <v>47647.154383691566</v>
      </c>
      <c r="AQ52" s="25">
        <f t="shared" si="11"/>
        <v>61100.04213252698</v>
      </c>
      <c r="AR52" s="26">
        <f t="shared" si="12"/>
        <v>2199.3527414183663</v>
      </c>
      <c r="AS52" s="27">
        <v>44</v>
      </c>
      <c r="AT52" s="43" t="s">
        <v>71</v>
      </c>
      <c r="AU52" s="37" t="s">
        <v>78</v>
      </c>
      <c r="AV52" s="26">
        <f t="shared" si="13"/>
        <v>3393.358212058212</v>
      </c>
      <c r="AW52" s="15">
        <f t="shared" si="14"/>
        <v>3393.358212058212</v>
      </c>
      <c r="AX52" s="26"/>
      <c r="AY52" s="30"/>
      <c r="AZ52" s="23">
        <f t="shared" si="15"/>
        <v>0.2340925638968106</v>
      </c>
      <c r="BA52" s="23">
        <f t="shared" si="16"/>
        <v>32813.81277980475</v>
      </c>
      <c r="BB52" s="23">
        <f t="shared" si="17"/>
        <v>9909.771556543043</v>
      </c>
      <c r="BC52" s="61">
        <f t="shared" si="18"/>
        <v>7390.334163935569</v>
      </c>
      <c r="BD52" s="27">
        <v>44</v>
      </c>
      <c r="BE52" s="43" t="s">
        <v>71</v>
      </c>
      <c r="BF52" s="37" t="s">
        <v>78</v>
      </c>
      <c r="BG52" s="15">
        <f t="shared" si="19"/>
        <v>12146.680007546507</v>
      </c>
      <c r="BH52" s="26">
        <f t="shared" si="20"/>
        <v>3898.056809588524</v>
      </c>
      <c r="BI52" s="30"/>
      <c r="BJ52" s="30"/>
      <c r="BK52" s="30"/>
      <c r="BL52" s="30"/>
      <c r="BM52" s="27">
        <v>44</v>
      </c>
      <c r="BN52" s="43" t="s">
        <v>71</v>
      </c>
      <c r="BO52" s="37" t="s">
        <v>78</v>
      </c>
      <c r="BP52" s="15">
        <f t="shared" si="21"/>
        <v>500.66029106029106</v>
      </c>
      <c r="BQ52" s="30"/>
      <c r="BR52" s="30"/>
      <c r="BS52" s="15">
        <f t="shared" si="22"/>
        <v>3730.888543161329</v>
      </c>
      <c r="BT52" s="30"/>
      <c r="BU52" s="15">
        <f t="shared" si="23"/>
        <v>4017.0743637363626</v>
      </c>
      <c r="BV52" s="27">
        <v>44</v>
      </c>
      <c r="BW52" s="43" t="s">
        <v>71</v>
      </c>
      <c r="BX52" s="37" t="s">
        <v>78</v>
      </c>
      <c r="BY52" s="18">
        <f t="shared" si="24"/>
        <v>213329.33034725848</v>
      </c>
      <c r="BZ52" s="18">
        <f t="shared" si="25"/>
        <v>0.8427332300285181</v>
      </c>
      <c r="CA52" s="15">
        <f t="shared" si="26"/>
        <v>152730.51135809644</v>
      </c>
      <c r="CB52" s="15">
        <f t="shared" si="27"/>
        <v>46124.61432459066</v>
      </c>
      <c r="CC52" s="15">
        <f t="shared" si="28"/>
        <v>14474.204664571385</v>
      </c>
      <c r="CD52" s="15">
        <f t="shared" si="29"/>
        <v>15483.110735601984</v>
      </c>
      <c r="CE52" s="27">
        <v>44</v>
      </c>
      <c r="CF52" s="43" t="s">
        <v>71</v>
      </c>
      <c r="CG52" s="37" t="s">
        <v>78</v>
      </c>
      <c r="CH52" s="15">
        <f t="shared" si="30"/>
        <v>73016.74648562982</v>
      </c>
      <c r="CI52" s="15">
        <f t="shared" si="31"/>
        <v>14045.739830991222</v>
      </c>
      <c r="CJ52" s="15">
        <f t="shared" si="32"/>
        <v>27346.43155637669</v>
      </c>
      <c r="CK52" s="62">
        <f t="shared" si="33"/>
        <v>1129.7732756503528</v>
      </c>
      <c r="CL52" s="67">
        <f t="shared" si="34"/>
        <v>250693.23000000004</v>
      </c>
      <c r="CM52" s="67">
        <f t="shared" si="35"/>
        <v>212451.8898305085</v>
      </c>
      <c r="CN52" s="74"/>
    </row>
    <row r="53" spans="1:92" ht="11.25" customHeight="1">
      <c r="A53" s="27">
        <v>45</v>
      </c>
      <c r="B53" s="27" t="s">
        <v>71</v>
      </c>
      <c r="C53" s="29">
        <v>12</v>
      </c>
      <c r="D53" s="31">
        <v>1979</v>
      </c>
      <c r="E53" s="32">
        <v>1</v>
      </c>
      <c r="F53" s="32">
        <v>9</v>
      </c>
      <c r="G53" s="32">
        <v>1</v>
      </c>
      <c r="H53" s="32">
        <v>54</v>
      </c>
      <c r="I53" s="32"/>
      <c r="J53" s="33">
        <v>149.1</v>
      </c>
      <c r="K53" s="34">
        <f>812+139</f>
        <v>951</v>
      </c>
      <c r="L53" s="35">
        <v>710</v>
      </c>
      <c r="M53" s="35">
        <v>0</v>
      </c>
      <c r="N53" s="35">
        <v>3752</v>
      </c>
      <c r="O53" s="32"/>
      <c r="P53" s="27">
        <v>45</v>
      </c>
      <c r="Q53" s="43" t="s">
        <v>71</v>
      </c>
      <c r="R53" s="37">
        <v>12</v>
      </c>
      <c r="S53" s="79">
        <v>2294.9</v>
      </c>
      <c r="T53" s="79">
        <v>2294.9</v>
      </c>
      <c r="U53" s="23">
        <v>26.31</v>
      </c>
      <c r="V53" s="23">
        <v>27.79</v>
      </c>
      <c r="W53" s="23">
        <f t="shared" si="36"/>
        <v>744924.54</v>
      </c>
      <c r="X53" s="23">
        <f t="shared" si="1"/>
        <v>742064.2277927962</v>
      </c>
      <c r="Y53" s="23">
        <f t="shared" si="2"/>
        <v>2860.312207203824</v>
      </c>
      <c r="Z53" s="27">
        <v>45</v>
      </c>
      <c r="AA53" s="43" t="s">
        <v>71</v>
      </c>
      <c r="AB53" s="37">
        <v>12</v>
      </c>
      <c r="AC53" s="24">
        <f t="shared" si="3"/>
        <v>628867.989654912</v>
      </c>
      <c r="AD53" s="15">
        <f t="shared" si="4"/>
        <v>110938.76973728962</v>
      </c>
      <c r="AE53" s="30">
        <f>1.13*1.078*0.997053</f>
        <v>1.21455014142</v>
      </c>
      <c r="AF53" s="15">
        <f t="shared" si="5"/>
        <v>82437.61511117256</v>
      </c>
      <c r="AG53" s="15">
        <f t="shared" si="6"/>
        <v>24896.159772475068</v>
      </c>
      <c r="AH53" s="30">
        <f t="shared" si="0"/>
        <v>107333.77488364762</v>
      </c>
      <c r="AI53" s="15">
        <f t="shared" si="7"/>
        <v>3604.9948536419947</v>
      </c>
      <c r="AJ53" s="27">
        <v>45</v>
      </c>
      <c r="AK53" s="43" t="s">
        <v>71</v>
      </c>
      <c r="AL53" s="37">
        <v>12</v>
      </c>
      <c r="AM53" s="15">
        <f t="shared" si="8"/>
        <v>209674.80586646424</v>
      </c>
      <c r="AN53" s="30">
        <f>(0.787+0.018)*1.003*0.9976247</f>
        <v>0.8054971471505</v>
      </c>
      <c r="AO53" s="15">
        <f t="shared" si="9"/>
        <v>113297.49121142655</v>
      </c>
      <c r="AP53" s="15">
        <f t="shared" si="10"/>
        <v>34215.842354033644</v>
      </c>
      <c r="AQ53" s="25">
        <f t="shared" si="11"/>
        <v>32049.207261533717</v>
      </c>
      <c r="AR53" s="26">
        <f t="shared" si="12"/>
        <v>1505.866590418698</v>
      </c>
      <c r="AS53" s="27">
        <v>45</v>
      </c>
      <c r="AT53" s="43" t="s">
        <v>71</v>
      </c>
      <c r="AU53" s="37">
        <v>12</v>
      </c>
      <c r="AV53" s="26">
        <f t="shared" si="13"/>
        <v>2319.8149272349274</v>
      </c>
      <c r="AW53" s="15">
        <f t="shared" si="14"/>
        <v>2036.0149272349272</v>
      </c>
      <c r="AX53" s="26">
        <f>283.8*G53</f>
        <v>283.8</v>
      </c>
      <c r="AY53" s="30"/>
      <c r="AZ53" s="23">
        <f t="shared" si="15"/>
        <v>0.12279011334296144</v>
      </c>
      <c r="BA53" s="23">
        <f t="shared" si="16"/>
        <v>17212.045198595213</v>
      </c>
      <c r="BB53" s="23">
        <f t="shared" si="17"/>
        <v>5198.037700877838</v>
      </c>
      <c r="BC53" s="61">
        <f t="shared" si="18"/>
        <v>3876.5006223436576</v>
      </c>
      <c r="BD53" s="27">
        <v>45</v>
      </c>
      <c r="BE53" s="43" t="s">
        <v>71</v>
      </c>
      <c r="BF53" s="37">
        <v>12</v>
      </c>
      <c r="BG53" s="15">
        <f t="shared" si="19"/>
        <v>127629.64813538754</v>
      </c>
      <c r="BH53" s="26">
        <f t="shared" si="20"/>
        <v>2044.6733954251797</v>
      </c>
      <c r="BI53" s="30">
        <f>(28000/37)-0.02</f>
        <v>756.7367567567568</v>
      </c>
      <c r="BJ53" s="30">
        <f>154631.87/37</f>
        <v>4179.239729729729</v>
      </c>
      <c r="BK53" s="30">
        <f>40879.49/37</f>
        <v>1104.851081081081</v>
      </c>
      <c r="BL53" s="30">
        <f>4120320/37</f>
        <v>111360</v>
      </c>
      <c r="BM53" s="27">
        <v>45</v>
      </c>
      <c r="BN53" s="43" t="s">
        <v>71</v>
      </c>
      <c r="BO53" s="37">
        <v>12</v>
      </c>
      <c r="BP53" s="15">
        <f t="shared" si="21"/>
        <v>300.39617463617463</v>
      </c>
      <c r="BQ53" s="30"/>
      <c r="BR53" s="30"/>
      <c r="BS53" s="15">
        <f t="shared" si="22"/>
        <v>1956.9875243310858</v>
      </c>
      <c r="BT53" s="30">
        <f>5634*100/118*0.8</f>
        <v>3819.661016949153</v>
      </c>
      <c r="BU53" s="15">
        <f t="shared" si="23"/>
        <v>2107.102456478384</v>
      </c>
      <c r="BV53" s="27">
        <v>45</v>
      </c>
      <c r="BW53" s="43" t="s">
        <v>71</v>
      </c>
      <c r="BX53" s="37">
        <v>12</v>
      </c>
      <c r="BY53" s="18">
        <f t="shared" si="24"/>
        <v>111899.037785176</v>
      </c>
      <c r="BZ53" s="18">
        <f t="shared" si="25"/>
        <v>0.44204440803466116</v>
      </c>
      <c r="CA53" s="15">
        <f t="shared" si="26"/>
        <v>80112.74039809273</v>
      </c>
      <c r="CB53" s="15">
        <f t="shared" si="27"/>
        <v>24194.047544856825</v>
      </c>
      <c r="CC53" s="15">
        <f t="shared" si="28"/>
        <v>7592.249842226434</v>
      </c>
      <c r="CD53" s="15">
        <f t="shared" si="29"/>
        <v>8121.457984305042</v>
      </c>
      <c r="CE53" s="27">
        <v>45</v>
      </c>
      <c r="CF53" s="43" t="s">
        <v>71</v>
      </c>
      <c r="CG53" s="37">
        <v>12</v>
      </c>
      <c r="CH53" s="15">
        <f t="shared" si="30"/>
        <v>38299.95463186484</v>
      </c>
      <c r="CI53" s="15">
        <f t="shared" si="31"/>
        <v>7367.5043629041065</v>
      </c>
      <c r="CJ53" s="15">
        <f t="shared" si="32"/>
        <v>14344.203739052562</v>
      </c>
      <c r="CK53" s="62">
        <f t="shared" si="33"/>
        <v>592.6074124682851</v>
      </c>
      <c r="CL53" s="67">
        <f t="shared" si="34"/>
        <v>131497.77</v>
      </c>
      <c r="CM53" s="67">
        <f t="shared" si="35"/>
        <v>111438.7881355932</v>
      </c>
      <c r="CN53" s="74"/>
    </row>
    <row r="54" spans="1:92" ht="11.25" customHeight="1">
      <c r="A54" s="27">
        <v>46</v>
      </c>
      <c r="B54" s="27" t="s">
        <v>79</v>
      </c>
      <c r="C54" s="37" t="s">
        <v>80</v>
      </c>
      <c r="D54" s="31">
        <v>1952</v>
      </c>
      <c r="E54" s="32">
        <v>2</v>
      </c>
      <c r="F54" s="32">
        <v>2</v>
      </c>
      <c r="G54" s="32"/>
      <c r="H54" s="32">
        <v>12</v>
      </c>
      <c r="I54" s="32"/>
      <c r="J54" s="33">
        <v>82</v>
      </c>
      <c r="K54" s="34">
        <f>79+139+147</f>
        <v>365</v>
      </c>
      <c r="L54" s="35">
        <v>0</v>
      </c>
      <c r="M54" s="35">
        <v>0</v>
      </c>
      <c r="N54" s="35">
        <v>1141</v>
      </c>
      <c r="O54" s="32"/>
      <c r="P54" s="27">
        <v>46</v>
      </c>
      <c r="Q54" s="43" t="s">
        <v>79</v>
      </c>
      <c r="R54" s="37" t="s">
        <v>80</v>
      </c>
      <c r="S54" s="30">
        <v>913.1</v>
      </c>
      <c r="T54" s="30">
        <v>913.1</v>
      </c>
      <c r="U54" s="23">
        <v>13.68</v>
      </c>
      <c r="V54" s="23">
        <v>14.24</v>
      </c>
      <c r="W54" s="23">
        <f t="shared" si="36"/>
        <v>152962.512</v>
      </c>
      <c r="X54" s="23">
        <f t="shared" si="1"/>
        <v>229750.01940978318</v>
      </c>
      <c r="Y54" s="23">
        <f t="shared" si="2"/>
        <v>-76787.5074097832</v>
      </c>
      <c r="Z54" s="27">
        <v>46</v>
      </c>
      <c r="AA54" s="43" t="s">
        <v>79</v>
      </c>
      <c r="AB54" s="37" t="s">
        <v>80</v>
      </c>
      <c r="AC54" s="24">
        <f t="shared" si="3"/>
        <v>194703.4062794773</v>
      </c>
      <c r="AD54" s="15">
        <f t="shared" si="4"/>
        <v>33379.80682360927</v>
      </c>
      <c r="AE54" s="30">
        <f>0.34*1.078*0.997053</f>
        <v>0.3654398655600001</v>
      </c>
      <c r="AF54" s="15">
        <f t="shared" si="5"/>
        <v>24804.238175043076</v>
      </c>
      <c r="AG54" s="15">
        <f t="shared" si="6"/>
        <v>7490.8799315411725</v>
      </c>
      <c r="AH54" s="30">
        <f t="shared" si="0"/>
        <v>32295.118106584247</v>
      </c>
      <c r="AI54" s="15">
        <f t="shared" si="7"/>
        <v>1084.6887170250252</v>
      </c>
      <c r="AJ54" s="27">
        <v>46</v>
      </c>
      <c r="AK54" s="43" t="s">
        <v>79</v>
      </c>
      <c r="AL54" s="37" t="s">
        <v>80</v>
      </c>
      <c r="AM54" s="15">
        <f t="shared" si="8"/>
        <v>86043.525973745</v>
      </c>
      <c r="AN54" s="30">
        <f>(0.319+0.018)*1.003*0.9976247</f>
        <v>0.3372081224717</v>
      </c>
      <c r="AO54" s="15">
        <f t="shared" si="9"/>
        <v>47430.12986118105</v>
      </c>
      <c r="AP54" s="15">
        <f t="shared" si="10"/>
        <v>14323.899221502283</v>
      </c>
      <c r="AQ54" s="25">
        <f t="shared" si="11"/>
        <v>12751.811037738653</v>
      </c>
      <c r="AR54" s="26">
        <f t="shared" si="12"/>
        <v>626.2728148967188</v>
      </c>
      <c r="AS54" s="27">
        <v>46</v>
      </c>
      <c r="AT54" s="43" t="s">
        <v>79</v>
      </c>
      <c r="AU54" s="37" t="s">
        <v>80</v>
      </c>
      <c r="AV54" s="26">
        <f t="shared" si="13"/>
        <v>452.44776160776155</v>
      </c>
      <c r="AW54" s="15">
        <f t="shared" si="14"/>
        <v>452.44776160776155</v>
      </c>
      <c r="AX54" s="26"/>
      <c r="AY54" s="30"/>
      <c r="AZ54" s="23">
        <f t="shared" si="15"/>
        <v>0.04885600788420327</v>
      </c>
      <c r="BA54" s="23">
        <f t="shared" si="16"/>
        <v>6848.367454284409</v>
      </c>
      <c r="BB54" s="23">
        <f t="shared" si="17"/>
        <v>2068.2069914469275</v>
      </c>
      <c r="BC54" s="61">
        <f t="shared" si="18"/>
        <v>1542.3908310871907</v>
      </c>
      <c r="BD54" s="27">
        <v>46</v>
      </c>
      <c r="BE54" s="43" t="s">
        <v>79</v>
      </c>
      <c r="BF54" s="37" t="s">
        <v>80</v>
      </c>
      <c r="BG54" s="15">
        <f t="shared" si="19"/>
        <v>3412.6832874782167</v>
      </c>
      <c r="BH54" s="26">
        <f t="shared" si="20"/>
        <v>813.5392728932552</v>
      </c>
      <c r="BI54" s="30"/>
      <c r="BJ54" s="30"/>
      <c r="BK54" s="30"/>
      <c r="BL54" s="30"/>
      <c r="BM54" s="27">
        <v>46</v>
      </c>
      <c r="BN54" s="43" t="s">
        <v>79</v>
      </c>
      <c r="BO54" s="37" t="s">
        <v>80</v>
      </c>
      <c r="BP54" s="15">
        <f t="shared" si="21"/>
        <v>66.75470547470547</v>
      </c>
      <c r="BQ54" s="30">
        <f>19.07*H54*4</f>
        <v>915.36</v>
      </c>
      <c r="BR54" s="30"/>
      <c r="BS54" s="15">
        <f t="shared" si="22"/>
        <v>778.6506202739615</v>
      </c>
      <c r="BT54" s="30"/>
      <c r="BU54" s="15">
        <f t="shared" si="23"/>
        <v>838.3786888362946</v>
      </c>
      <c r="BV54" s="27">
        <v>46</v>
      </c>
      <c r="BW54" s="43" t="s">
        <v>79</v>
      </c>
      <c r="BX54" s="37" t="s">
        <v>80</v>
      </c>
      <c r="BY54" s="18">
        <f t="shared" si="24"/>
        <v>44522.6421201988</v>
      </c>
      <c r="BZ54" s="18">
        <f t="shared" si="25"/>
        <v>0.1758816283831318</v>
      </c>
      <c r="CA54" s="15">
        <f t="shared" si="26"/>
        <v>31875.438257657624</v>
      </c>
      <c r="CB54" s="15">
        <f t="shared" si="27"/>
        <v>9626.382331782985</v>
      </c>
      <c r="CC54" s="15">
        <f t="shared" si="28"/>
        <v>3020.8215307581845</v>
      </c>
      <c r="CD54" s="15">
        <f t="shared" si="29"/>
        <v>3231.3840626907204</v>
      </c>
      <c r="CE54" s="27">
        <v>46</v>
      </c>
      <c r="CF54" s="43" t="s">
        <v>79</v>
      </c>
      <c r="CG54" s="37" t="s">
        <v>80</v>
      </c>
      <c r="CH54" s="15">
        <f t="shared" si="30"/>
        <v>15238.87253229151</v>
      </c>
      <c r="CI54" s="15">
        <f t="shared" si="31"/>
        <v>2931.399291371188</v>
      </c>
      <c r="CJ54" s="15">
        <f t="shared" si="32"/>
        <v>5707.3042111329005</v>
      </c>
      <c r="CK54" s="62">
        <f t="shared" si="33"/>
        <v>235.7879769596894</v>
      </c>
      <c r="CL54" s="67">
        <f t="shared" si="34"/>
        <v>52320.630000000005</v>
      </c>
      <c r="CM54" s="67">
        <f t="shared" si="35"/>
        <v>44339.516949152545</v>
      </c>
      <c r="CN54" s="74"/>
    </row>
    <row r="55" spans="1:92" ht="11.25" customHeight="1">
      <c r="A55" s="27">
        <v>47</v>
      </c>
      <c r="B55" s="27" t="s">
        <v>79</v>
      </c>
      <c r="C55" s="29">
        <v>15</v>
      </c>
      <c r="D55" s="31">
        <v>1952</v>
      </c>
      <c r="E55" s="32">
        <v>2</v>
      </c>
      <c r="F55" s="32">
        <v>2</v>
      </c>
      <c r="G55" s="32"/>
      <c r="H55" s="32">
        <v>12</v>
      </c>
      <c r="I55" s="32"/>
      <c r="J55" s="33">
        <v>81.7</v>
      </c>
      <c r="K55" s="34">
        <f>295+209+120</f>
        <v>624</v>
      </c>
      <c r="L55" s="35">
        <v>0</v>
      </c>
      <c r="M55" s="35">
        <v>18</v>
      </c>
      <c r="N55" s="35">
        <v>2072</v>
      </c>
      <c r="O55" s="32"/>
      <c r="P55" s="27">
        <v>47</v>
      </c>
      <c r="Q55" s="43" t="s">
        <v>79</v>
      </c>
      <c r="R55" s="37">
        <v>15</v>
      </c>
      <c r="S55" s="79">
        <v>913.15</v>
      </c>
      <c r="T55" s="79">
        <v>913.15</v>
      </c>
      <c r="U55" s="23">
        <v>13.68</v>
      </c>
      <c r="V55" s="23">
        <v>14.24</v>
      </c>
      <c r="W55" s="23">
        <f t="shared" si="36"/>
        <v>152970.88799999998</v>
      </c>
      <c r="X55" s="23">
        <f t="shared" si="1"/>
        <v>253143.98413589902</v>
      </c>
      <c r="Y55" s="23">
        <f t="shared" si="2"/>
        <v>-100173.09613589905</v>
      </c>
      <c r="Z55" s="27">
        <v>47</v>
      </c>
      <c r="AA55" s="43" t="s">
        <v>79</v>
      </c>
      <c r="AB55" s="37">
        <v>15</v>
      </c>
      <c r="AC55" s="24">
        <f t="shared" si="3"/>
        <v>214528.80011516868</v>
      </c>
      <c r="AD55" s="15">
        <f t="shared" si="4"/>
        <v>53014.987308085314</v>
      </c>
      <c r="AE55" s="30">
        <f>0.54*1.078*0.997053</f>
        <v>0.58040449236</v>
      </c>
      <c r="AF55" s="15">
        <f t="shared" si="5"/>
        <v>39394.966513303705</v>
      </c>
      <c r="AG55" s="15">
        <f t="shared" si="6"/>
        <v>11897.279891271273</v>
      </c>
      <c r="AH55" s="30">
        <f t="shared" si="0"/>
        <v>51292.24640457498</v>
      </c>
      <c r="AI55" s="15">
        <f t="shared" si="7"/>
        <v>1722.7409035103337</v>
      </c>
      <c r="AJ55" s="27">
        <v>47</v>
      </c>
      <c r="AK55" s="43" t="s">
        <v>79</v>
      </c>
      <c r="AL55" s="37">
        <v>15</v>
      </c>
      <c r="AM55" s="15">
        <f t="shared" si="8"/>
        <v>86229.670879074</v>
      </c>
      <c r="AN55" s="30">
        <f>(0.32+0.018)*1.003*0.9976247</f>
        <v>0.3382087400458</v>
      </c>
      <c r="AO55" s="15">
        <f t="shared" si="9"/>
        <v>47570.87208628841</v>
      </c>
      <c r="AP55" s="15">
        <f t="shared" si="10"/>
        <v>14366.40337349487</v>
      </c>
      <c r="AQ55" s="25">
        <f t="shared" si="11"/>
        <v>12752.50930797399</v>
      </c>
      <c r="AR55" s="26">
        <f t="shared" si="12"/>
        <v>627.9003554839541</v>
      </c>
      <c r="AS55" s="27">
        <v>47</v>
      </c>
      <c r="AT55" s="43" t="s">
        <v>79</v>
      </c>
      <c r="AU55" s="37">
        <v>15</v>
      </c>
      <c r="AV55" s="26">
        <f t="shared" si="13"/>
        <v>452.44776160776155</v>
      </c>
      <c r="AW55" s="15">
        <f t="shared" si="14"/>
        <v>452.44776160776155</v>
      </c>
      <c r="AX55" s="26"/>
      <c r="AY55" s="30"/>
      <c r="AZ55" s="23">
        <f t="shared" si="15"/>
        <v>0.04885868316664135</v>
      </c>
      <c r="BA55" s="23">
        <f t="shared" si="16"/>
        <v>6848.742460716031</v>
      </c>
      <c r="BB55" s="23">
        <f t="shared" si="17"/>
        <v>2068.320243390386</v>
      </c>
      <c r="BC55" s="61">
        <f t="shared" si="18"/>
        <v>1542.475290118572</v>
      </c>
      <c r="BD55" s="27">
        <v>47</v>
      </c>
      <c r="BE55" s="43" t="s">
        <v>79</v>
      </c>
      <c r="BF55" s="37">
        <v>15</v>
      </c>
      <c r="BG55" s="15">
        <f t="shared" si="19"/>
        <v>3412.8163818042494</v>
      </c>
      <c r="BH55" s="26">
        <f t="shared" si="20"/>
        <v>813.5838210956916</v>
      </c>
      <c r="BI55" s="30"/>
      <c r="BJ55" s="30"/>
      <c r="BK55" s="30"/>
      <c r="BL55" s="30"/>
      <c r="BM55" s="27">
        <v>47</v>
      </c>
      <c r="BN55" s="43" t="s">
        <v>79</v>
      </c>
      <c r="BO55" s="37">
        <v>15</v>
      </c>
      <c r="BP55" s="15">
        <f t="shared" si="21"/>
        <v>66.75470547470547</v>
      </c>
      <c r="BQ55" s="30">
        <f>19.07*H55*4</f>
        <v>915.36</v>
      </c>
      <c r="BR55" s="30"/>
      <c r="BS55" s="15">
        <f t="shared" si="22"/>
        <v>778.693258025592</v>
      </c>
      <c r="BT55" s="30"/>
      <c r="BU55" s="15">
        <f t="shared" si="23"/>
        <v>838.4245972082601</v>
      </c>
      <c r="BV55" s="27">
        <v>47</v>
      </c>
      <c r="BW55" s="43" t="s">
        <v>79</v>
      </c>
      <c r="BX55" s="37">
        <v>15</v>
      </c>
      <c r="BY55" s="18">
        <f t="shared" si="24"/>
        <v>44525.0801139629</v>
      </c>
      <c r="BZ55" s="18">
        <f t="shared" si="25"/>
        <v>0.17589125939990885</v>
      </c>
      <c r="CA55" s="15">
        <f t="shared" si="26"/>
        <v>31877.18370931996</v>
      </c>
      <c r="CB55" s="15">
        <f t="shared" si="27"/>
        <v>9626.909458183804</v>
      </c>
      <c r="CC55" s="15">
        <f t="shared" si="28"/>
        <v>3020.9869464591347</v>
      </c>
      <c r="CD55" s="15">
        <f t="shared" si="29"/>
        <v>3231.5610084832233</v>
      </c>
      <c r="CE55" s="27">
        <v>47</v>
      </c>
      <c r="CF55" s="43" t="s">
        <v>79</v>
      </c>
      <c r="CG55" s="37">
        <v>15</v>
      </c>
      <c r="CH55" s="15">
        <f t="shared" si="30"/>
        <v>15239.706990320876</v>
      </c>
      <c r="CI55" s="15">
        <f t="shared" si="31"/>
        <v>2931.559810443106</v>
      </c>
      <c r="CJ55" s="15">
        <f t="shared" si="32"/>
        <v>5707.616734635865</v>
      </c>
      <c r="CK55" s="62">
        <f t="shared" si="33"/>
        <v>235.80088835915052</v>
      </c>
      <c r="CL55" s="67">
        <f t="shared" si="34"/>
        <v>52323.495</v>
      </c>
      <c r="CM55" s="67">
        <f t="shared" si="35"/>
        <v>44341.94491525424</v>
      </c>
      <c r="CN55" s="74"/>
    </row>
    <row r="56" spans="1:92" ht="11.25" customHeight="1">
      <c r="A56" s="27">
        <v>48</v>
      </c>
      <c r="B56" s="27" t="s">
        <v>79</v>
      </c>
      <c r="C56" s="29" t="s">
        <v>81</v>
      </c>
      <c r="D56" s="31">
        <v>1952</v>
      </c>
      <c r="E56" s="32">
        <v>2</v>
      </c>
      <c r="F56" s="32">
        <v>2</v>
      </c>
      <c r="G56" s="32"/>
      <c r="H56" s="32">
        <v>12</v>
      </c>
      <c r="I56" s="32"/>
      <c r="J56" s="33">
        <v>79.1</v>
      </c>
      <c r="K56" s="34">
        <f>84+87+143</f>
        <v>314</v>
      </c>
      <c r="L56" s="35">
        <v>0</v>
      </c>
      <c r="M56" s="35">
        <v>0</v>
      </c>
      <c r="N56" s="35">
        <v>775</v>
      </c>
      <c r="O56" s="32"/>
      <c r="P56" s="27">
        <v>48</v>
      </c>
      <c r="Q56" s="43" t="s">
        <v>79</v>
      </c>
      <c r="R56" s="37" t="s">
        <v>81</v>
      </c>
      <c r="S56" s="79">
        <v>913.5</v>
      </c>
      <c r="T56" s="79">
        <v>913.5</v>
      </c>
      <c r="U56" s="23">
        <v>13.68</v>
      </c>
      <c r="V56" s="23">
        <v>14.24</v>
      </c>
      <c r="W56" s="23">
        <f t="shared" si="36"/>
        <v>153029.52000000002</v>
      </c>
      <c r="X56" s="23">
        <f t="shared" si="1"/>
        <v>221758.88022957998</v>
      </c>
      <c r="Y56" s="23">
        <f t="shared" si="2"/>
        <v>-68729.36022957996</v>
      </c>
      <c r="Z56" s="27">
        <v>48</v>
      </c>
      <c r="AA56" s="43" t="s">
        <v>79</v>
      </c>
      <c r="AB56" s="37" t="s">
        <v>81</v>
      </c>
      <c r="AC56" s="24">
        <f t="shared" si="3"/>
        <v>187931.25443184745</v>
      </c>
      <c r="AD56" s="15">
        <f t="shared" si="4"/>
        <v>27489.25267826646</v>
      </c>
      <c r="AE56" s="30">
        <f>0.28*1.078*0.997053</f>
        <v>0.30095047752000004</v>
      </c>
      <c r="AF56" s="15">
        <f t="shared" si="5"/>
        <v>20427.019673564886</v>
      </c>
      <c r="AG56" s="15">
        <f t="shared" si="6"/>
        <v>6168.959943622142</v>
      </c>
      <c r="AH56" s="30">
        <f t="shared" si="0"/>
        <v>26595.97961718703</v>
      </c>
      <c r="AI56" s="15">
        <f t="shared" si="7"/>
        <v>893.2730610794324</v>
      </c>
      <c r="AJ56" s="27">
        <v>48</v>
      </c>
      <c r="AK56" s="43" t="s">
        <v>79</v>
      </c>
      <c r="AL56" s="37" t="s">
        <v>81</v>
      </c>
      <c r="AM56" s="15">
        <f t="shared" si="8"/>
        <v>85129.38070436708</v>
      </c>
      <c r="AN56" s="30">
        <f>(0.312+0.02)*1.003*0.9976247</f>
        <v>0.3322050346012</v>
      </c>
      <c r="AO56" s="15">
        <f t="shared" si="9"/>
        <v>46726.418735644234</v>
      </c>
      <c r="AP56" s="15">
        <f t="shared" si="10"/>
        <v>14111.37846153934</v>
      </c>
      <c r="AQ56" s="25">
        <f t="shared" si="11"/>
        <v>12757.397199621355</v>
      </c>
      <c r="AR56" s="26">
        <f t="shared" si="12"/>
        <v>618.1915298841682</v>
      </c>
      <c r="AS56" s="27">
        <v>48</v>
      </c>
      <c r="AT56" s="43" t="s">
        <v>79</v>
      </c>
      <c r="AU56" s="37" t="s">
        <v>81</v>
      </c>
      <c r="AV56" s="26">
        <f t="shared" si="13"/>
        <v>452.44776160776155</v>
      </c>
      <c r="AW56" s="15">
        <f t="shared" si="14"/>
        <v>452.44776160776155</v>
      </c>
      <c r="AX56" s="26"/>
      <c r="AY56" s="30"/>
      <c r="AZ56" s="23">
        <f t="shared" si="15"/>
        <v>0.04887741014370791</v>
      </c>
      <c r="BA56" s="23">
        <f t="shared" si="16"/>
        <v>6851.367505737387</v>
      </c>
      <c r="BB56" s="23">
        <f t="shared" si="17"/>
        <v>2069.113006994599</v>
      </c>
      <c r="BC56" s="61">
        <f t="shared" si="18"/>
        <v>1543.0665033382418</v>
      </c>
      <c r="BD56" s="27">
        <v>48</v>
      </c>
      <c r="BE56" s="43" t="s">
        <v>79</v>
      </c>
      <c r="BF56" s="37" t="s">
        <v>81</v>
      </c>
      <c r="BG56" s="15">
        <f t="shared" si="19"/>
        <v>3413.748042086476</v>
      </c>
      <c r="BH56" s="26">
        <f t="shared" si="20"/>
        <v>813.8956585127463</v>
      </c>
      <c r="BI56" s="30"/>
      <c r="BJ56" s="30"/>
      <c r="BK56" s="30"/>
      <c r="BL56" s="30"/>
      <c r="BM56" s="27">
        <v>48</v>
      </c>
      <c r="BN56" s="43" t="s">
        <v>79</v>
      </c>
      <c r="BO56" s="37" t="s">
        <v>81</v>
      </c>
      <c r="BP56" s="15">
        <f t="shared" si="21"/>
        <v>66.75470547470547</v>
      </c>
      <c r="BQ56" s="30">
        <f>19.07*H56*4</f>
        <v>915.36</v>
      </c>
      <c r="BR56" s="30"/>
      <c r="BS56" s="15">
        <f t="shared" si="22"/>
        <v>778.9917222870046</v>
      </c>
      <c r="BT56" s="30"/>
      <c r="BU56" s="15">
        <f t="shared" si="23"/>
        <v>838.7459558120196</v>
      </c>
      <c r="BV56" s="27">
        <v>48</v>
      </c>
      <c r="BW56" s="43" t="s">
        <v>79</v>
      </c>
      <c r="BX56" s="37" t="s">
        <v>81</v>
      </c>
      <c r="BY56" s="18">
        <f t="shared" si="24"/>
        <v>44542.146070311675</v>
      </c>
      <c r="BZ56" s="18">
        <f t="shared" si="25"/>
        <v>0.17595867651734845</v>
      </c>
      <c r="CA56" s="15">
        <f t="shared" si="26"/>
        <v>31889.401870956342</v>
      </c>
      <c r="CB56" s="15">
        <f t="shared" si="27"/>
        <v>9630.599342989546</v>
      </c>
      <c r="CC56" s="15">
        <f t="shared" si="28"/>
        <v>3022.144856365788</v>
      </c>
      <c r="CD56" s="15">
        <f t="shared" si="29"/>
        <v>3232.7996290307447</v>
      </c>
      <c r="CE56" s="27">
        <v>48</v>
      </c>
      <c r="CF56" s="43" t="s">
        <v>79</v>
      </c>
      <c r="CG56" s="37" t="s">
        <v>81</v>
      </c>
      <c r="CH56" s="15">
        <f t="shared" si="30"/>
        <v>15245.548196526443</v>
      </c>
      <c r="CI56" s="15">
        <f t="shared" si="31"/>
        <v>2932.6834439465338</v>
      </c>
      <c r="CJ56" s="15">
        <f t="shared" si="32"/>
        <v>5709.804399156615</v>
      </c>
      <c r="CK56" s="62">
        <f t="shared" si="33"/>
        <v>235.89126815537864</v>
      </c>
      <c r="CL56" s="67">
        <f t="shared" si="34"/>
        <v>52343.549999999996</v>
      </c>
      <c r="CM56" s="67">
        <f t="shared" si="35"/>
        <v>44358.9406779661</v>
      </c>
      <c r="CN56" s="74"/>
    </row>
    <row r="57" spans="1:92" ht="11.25" customHeight="1">
      <c r="A57" s="27">
        <v>49</v>
      </c>
      <c r="B57" s="27" t="s">
        <v>79</v>
      </c>
      <c r="C57" s="29">
        <v>19</v>
      </c>
      <c r="D57" s="31">
        <v>1990</v>
      </c>
      <c r="E57" s="32">
        <v>2</v>
      </c>
      <c r="F57" s="32">
        <v>9</v>
      </c>
      <c r="G57" s="32">
        <v>2</v>
      </c>
      <c r="H57" s="32">
        <v>108</v>
      </c>
      <c r="I57" s="32"/>
      <c r="J57" s="33">
        <v>525.5</v>
      </c>
      <c r="K57" s="34">
        <f>511.2+458.6+969.8</f>
        <v>1939.6</v>
      </c>
      <c r="L57" s="35">
        <v>0</v>
      </c>
      <c r="M57" s="35">
        <v>0</v>
      </c>
      <c r="N57" s="35">
        <v>2726</v>
      </c>
      <c r="O57" s="32"/>
      <c r="P57" s="27">
        <v>49</v>
      </c>
      <c r="Q57" s="43" t="s">
        <v>79</v>
      </c>
      <c r="R57" s="37">
        <v>19</v>
      </c>
      <c r="S57" s="79">
        <v>5548.7</v>
      </c>
      <c r="T57" s="79">
        <v>5548.7</v>
      </c>
      <c r="U57" s="23">
        <v>26.31</v>
      </c>
      <c r="V57" s="23">
        <v>27.79</v>
      </c>
      <c r="W57" s="23">
        <f t="shared" si="36"/>
        <v>1801108.0199999998</v>
      </c>
      <c r="X57" s="23">
        <f t="shared" si="1"/>
        <v>1514002.1807684605</v>
      </c>
      <c r="Y57" s="23">
        <f t="shared" si="2"/>
        <v>287105.8392315393</v>
      </c>
      <c r="Z57" s="27">
        <v>49</v>
      </c>
      <c r="AA57" s="43" t="s">
        <v>79</v>
      </c>
      <c r="AB57" s="37">
        <v>19</v>
      </c>
      <c r="AC57" s="24">
        <f t="shared" si="3"/>
        <v>1283052.695566492</v>
      </c>
      <c r="AD57" s="15">
        <f t="shared" si="4"/>
        <v>139409.78143977988</v>
      </c>
      <c r="AE57" s="30">
        <f>1.42*1.078*0.997053</f>
        <v>1.52624885028</v>
      </c>
      <c r="AF57" s="15">
        <f t="shared" si="5"/>
        <v>103594.17120165048</v>
      </c>
      <c r="AG57" s="15">
        <f t="shared" si="6"/>
        <v>31285.439714083714</v>
      </c>
      <c r="AH57" s="30">
        <f t="shared" si="0"/>
        <v>134879.6109157342</v>
      </c>
      <c r="AI57" s="15">
        <f t="shared" si="7"/>
        <v>4530.170524045692</v>
      </c>
      <c r="AJ57" s="27">
        <v>49</v>
      </c>
      <c r="AK57" s="43" t="s">
        <v>79</v>
      </c>
      <c r="AL57" s="37">
        <v>19</v>
      </c>
      <c r="AM57" s="15">
        <f t="shared" si="8"/>
        <v>456748.71263352607</v>
      </c>
      <c r="AN57" s="30">
        <f>(1.66+0.02)*1.003*0.9976247</f>
        <v>1.6810375244879998</v>
      </c>
      <c r="AO57" s="15">
        <f t="shared" si="9"/>
        <v>236446.9381803684</v>
      </c>
      <c r="AP57" s="15">
        <f t="shared" si="10"/>
        <v>71406.97534754846</v>
      </c>
      <c r="AQ57" s="25">
        <f t="shared" si="11"/>
        <v>77489.84109637549</v>
      </c>
      <c r="AR57" s="26">
        <f t="shared" si="12"/>
        <v>3208.586689992216</v>
      </c>
      <c r="AS57" s="27">
        <v>49</v>
      </c>
      <c r="AT57" s="43" t="s">
        <v>79</v>
      </c>
      <c r="AU57" s="37">
        <v>19</v>
      </c>
      <c r="AV57" s="26">
        <f t="shared" si="13"/>
        <v>4639.629854469855</v>
      </c>
      <c r="AW57" s="15">
        <f t="shared" si="14"/>
        <v>4072.0298544698544</v>
      </c>
      <c r="AX57" s="26">
        <f>283.8*G57</f>
        <v>567.6</v>
      </c>
      <c r="AY57" s="30"/>
      <c r="AZ57" s="23">
        <f t="shared" si="15"/>
        <v>0.2968867932834067</v>
      </c>
      <c r="BA57" s="23">
        <f t="shared" si="16"/>
        <v>41615.96374284076</v>
      </c>
      <c r="BB57" s="23">
        <f t="shared" si="17"/>
        <v>12568.02117341098</v>
      </c>
      <c r="BC57" s="61">
        <f t="shared" si="18"/>
        <v>9372.75654851987</v>
      </c>
      <c r="BD57" s="27">
        <v>49</v>
      </c>
      <c r="BE57" s="43" t="s">
        <v>79</v>
      </c>
      <c r="BF57" s="37">
        <v>19</v>
      </c>
      <c r="BG57" s="15">
        <f t="shared" si="19"/>
        <v>250172.4974377422</v>
      </c>
      <c r="BH57" s="26">
        <f t="shared" si="20"/>
        <v>4943.692217175342</v>
      </c>
      <c r="BI57" s="30">
        <f>28000/37*2</f>
        <v>1513.5135135135135</v>
      </c>
      <c r="BJ57" s="30">
        <f>154631.87/37*2</f>
        <v>8358.479459459459</v>
      </c>
      <c r="BK57" s="30">
        <f>40879.494/37*2</f>
        <v>2209.7023783783784</v>
      </c>
      <c r="BL57" s="30">
        <f>4120320/37*2</f>
        <v>222720</v>
      </c>
      <c r="BM57" s="27">
        <v>49</v>
      </c>
      <c r="BN57" s="43" t="s">
        <v>79</v>
      </c>
      <c r="BO57" s="37">
        <v>19</v>
      </c>
      <c r="BP57" s="15">
        <f t="shared" si="21"/>
        <v>600.7923492723493</v>
      </c>
      <c r="BQ57" s="30"/>
      <c r="BR57" s="30"/>
      <c r="BS57" s="15">
        <f t="shared" si="22"/>
        <v>4731.6818494295585</v>
      </c>
      <c r="BT57" s="30"/>
      <c r="BU57" s="15">
        <f t="shared" si="23"/>
        <v>5094.635670513577</v>
      </c>
      <c r="BV57" s="27">
        <v>49</v>
      </c>
      <c r="BW57" s="43" t="s">
        <v>79</v>
      </c>
      <c r="BX57" s="37">
        <v>19</v>
      </c>
      <c r="BY57" s="18">
        <f t="shared" si="24"/>
        <v>270553.91997847665</v>
      </c>
      <c r="BZ57" s="18">
        <f t="shared" si="25"/>
        <v>1.0687924558202642</v>
      </c>
      <c r="CA57" s="15">
        <f t="shared" si="26"/>
        <v>193699.75277654675</v>
      </c>
      <c r="CB57" s="15">
        <f t="shared" si="27"/>
        <v>58497.325204648165</v>
      </c>
      <c r="CC57" s="15">
        <f t="shared" si="28"/>
        <v>18356.841997281717</v>
      </c>
      <c r="CD57" s="15">
        <f t="shared" si="29"/>
        <v>19636.3823772336</v>
      </c>
      <c r="CE57" s="27">
        <v>49</v>
      </c>
      <c r="CF57" s="43" t="s">
        <v>79</v>
      </c>
      <c r="CG57" s="37">
        <v>19</v>
      </c>
      <c r="CH57" s="15">
        <f t="shared" si="30"/>
        <v>92603.14535092092</v>
      </c>
      <c r="CI57" s="15">
        <f t="shared" si="31"/>
        <v>17813.44348705652</v>
      </c>
      <c r="CJ57" s="15">
        <f t="shared" si="32"/>
        <v>34681.98321795326</v>
      </c>
      <c r="CK57" s="62">
        <f t="shared" si="33"/>
        <v>1432.8296438026814</v>
      </c>
      <c r="CL57" s="67">
        <f t="shared" si="34"/>
        <v>317940.51</v>
      </c>
      <c r="CM57" s="67">
        <f t="shared" si="35"/>
        <v>269441.1101694915</v>
      </c>
      <c r="CN57" s="74"/>
    </row>
    <row r="58" spans="1:92" ht="11.25" customHeight="1">
      <c r="A58" s="27">
        <v>50</v>
      </c>
      <c r="B58" s="27" t="s">
        <v>79</v>
      </c>
      <c r="C58" s="29">
        <v>61</v>
      </c>
      <c r="D58" s="31">
        <v>1982</v>
      </c>
      <c r="E58" s="32">
        <v>6</v>
      </c>
      <c r="F58" s="32">
        <v>5</v>
      </c>
      <c r="G58" s="32"/>
      <c r="H58" s="32">
        <v>90</v>
      </c>
      <c r="I58" s="32"/>
      <c r="J58" s="33">
        <v>521</v>
      </c>
      <c r="K58" s="34">
        <f>1542.2+96.6</f>
        <v>1638.8</v>
      </c>
      <c r="L58" s="35">
        <v>0</v>
      </c>
      <c r="M58" s="35">
        <v>0</v>
      </c>
      <c r="N58" s="35">
        <v>7378</v>
      </c>
      <c r="O58" s="32"/>
      <c r="P58" s="27">
        <v>50</v>
      </c>
      <c r="Q58" s="43" t="s">
        <v>79</v>
      </c>
      <c r="R58" s="37">
        <v>61</v>
      </c>
      <c r="S58" s="79">
        <v>3904.4</v>
      </c>
      <c r="T58" s="79">
        <v>3904.4</v>
      </c>
      <c r="U58" s="23">
        <v>20.35</v>
      </c>
      <c r="V58" s="23">
        <v>21.98</v>
      </c>
      <c r="W58" s="23">
        <f t="shared" si="36"/>
        <v>991639.5120000001</v>
      </c>
      <c r="X58" s="23">
        <f t="shared" si="1"/>
        <v>937218.8683671174</v>
      </c>
      <c r="Y58" s="23">
        <f t="shared" si="2"/>
        <v>54420.64363288274</v>
      </c>
      <c r="Z58" s="27">
        <v>50</v>
      </c>
      <c r="AA58" s="43" t="s">
        <v>79</v>
      </c>
      <c r="AB58" s="37">
        <v>61</v>
      </c>
      <c r="AC58" s="24">
        <f t="shared" si="3"/>
        <v>794253.2782772181</v>
      </c>
      <c r="AD58" s="15">
        <f t="shared" si="4"/>
        <v>199297.28180357814</v>
      </c>
      <c r="AE58" s="30">
        <f>2.03*1.078*0.997054</f>
        <v>2.1818931503599996</v>
      </c>
      <c r="AF58" s="15">
        <f t="shared" si="5"/>
        <v>148096.04116696658</v>
      </c>
      <c r="AG58" s="15">
        <f t="shared" si="6"/>
        <v>44725.00444841413</v>
      </c>
      <c r="AH58" s="30">
        <f t="shared" si="0"/>
        <v>192821.04561538072</v>
      </c>
      <c r="AI58" s="15">
        <f t="shared" si="7"/>
        <v>6476.236188197436</v>
      </c>
      <c r="AJ58" s="27">
        <v>50</v>
      </c>
      <c r="AK58" s="43" t="s">
        <v>79</v>
      </c>
      <c r="AL58" s="37">
        <v>61</v>
      </c>
      <c r="AM58" s="15">
        <f t="shared" si="8"/>
        <v>276758.5338087481</v>
      </c>
      <c r="AN58" s="30">
        <f>(0.922+0.018)*1.003*0.9976247</f>
        <v>0.940580519654</v>
      </c>
      <c r="AO58" s="15">
        <f t="shared" si="9"/>
        <v>132297.69160092043</v>
      </c>
      <c r="AP58" s="15">
        <f t="shared" si="10"/>
        <v>39953.902873033076</v>
      </c>
      <c r="AQ58" s="25">
        <f t="shared" si="11"/>
        <v>54526.52613705706</v>
      </c>
      <c r="AR58" s="26">
        <f t="shared" si="12"/>
        <v>1864.6981498341377</v>
      </c>
      <c r="AS58" s="27">
        <v>50</v>
      </c>
      <c r="AT58" s="43" t="s">
        <v>79</v>
      </c>
      <c r="AU58" s="37">
        <v>61</v>
      </c>
      <c r="AV58" s="26">
        <f t="shared" si="13"/>
        <v>3393.358212058212</v>
      </c>
      <c r="AW58" s="15">
        <f t="shared" si="14"/>
        <v>3393.358212058212</v>
      </c>
      <c r="AX58" s="26"/>
      <c r="AY58" s="30"/>
      <c r="AZ58" s="23">
        <f t="shared" si="15"/>
        <v>0.2089074550247325</v>
      </c>
      <c r="BA58" s="23">
        <f t="shared" si="16"/>
        <v>29283.502232513467</v>
      </c>
      <c r="BB58" s="23">
        <f t="shared" si="17"/>
        <v>8843.617760820704</v>
      </c>
      <c r="BC58" s="61">
        <f t="shared" si="18"/>
        <v>6595.236842511036</v>
      </c>
      <c r="BD58" s="27">
        <v>50</v>
      </c>
      <c r="BE58" s="43" t="s">
        <v>79</v>
      </c>
      <c r="BF58" s="37">
        <v>61</v>
      </c>
      <c r="BG58" s="15">
        <f t="shared" si="19"/>
        <v>10893.730022277583</v>
      </c>
      <c r="BH58" s="26">
        <f t="shared" si="20"/>
        <v>3478.680031852399</v>
      </c>
      <c r="BI58" s="30"/>
      <c r="BJ58" s="30"/>
      <c r="BK58" s="30"/>
      <c r="BL58" s="30"/>
      <c r="BM58" s="27">
        <v>50</v>
      </c>
      <c r="BN58" s="43" t="s">
        <v>79</v>
      </c>
      <c r="BO58" s="37">
        <v>61</v>
      </c>
      <c r="BP58" s="15">
        <f t="shared" si="21"/>
        <v>500.66029106029106</v>
      </c>
      <c r="BQ58" s="30"/>
      <c r="BR58" s="30"/>
      <c r="BS58" s="15">
        <f t="shared" si="22"/>
        <v>3329.496749312951</v>
      </c>
      <c r="BT58" s="30"/>
      <c r="BU58" s="15">
        <f t="shared" si="23"/>
        <v>3584.892950051942</v>
      </c>
      <c r="BV58" s="27">
        <v>50</v>
      </c>
      <c r="BW58" s="43" t="s">
        <v>79</v>
      </c>
      <c r="BX58" s="37">
        <v>61</v>
      </c>
      <c r="BY58" s="18">
        <f t="shared" si="24"/>
        <v>190378.05705191565</v>
      </c>
      <c r="BZ58" s="18">
        <f t="shared" si="25"/>
        <v>0.7520668380890371</v>
      </c>
      <c r="CA58" s="15">
        <f t="shared" si="26"/>
        <v>136298.82940882535</v>
      </c>
      <c r="CB58" s="15">
        <f t="shared" si="27"/>
        <v>41162.24638726698</v>
      </c>
      <c r="CC58" s="15">
        <f t="shared" si="28"/>
        <v>12916.9812558233</v>
      </c>
      <c r="CD58" s="15">
        <f t="shared" si="29"/>
        <v>13817.343044978259</v>
      </c>
      <c r="CE58" s="27">
        <v>50</v>
      </c>
      <c r="CF58" s="43" t="s">
        <v>79</v>
      </c>
      <c r="CG58" s="37">
        <v>61</v>
      </c>
      <c r="CH58" s="15">
        <f t="shared" si="30"/>
        <v>65161.15859717334</v>
      </c>
      <c r="CI58" s="15">
        <f t="shared" si="31"/>
        <v>12534.613287952761</v>
      </c>
      <c r="CJ58" s="15">
        <f t="shared" si="32"/>
        <v>24404.33529947136</v>
      </c>
      <c r="CK58" s="62">
        <f t="shared" si="33"/>
        <v>1008.225361123</v>
      </c>
      <c r="CL58" s="67">
        <f t="shared" si="34"/>
        <v>223722.12</v>
      </c>
      <c r="CM58" s="67">
        <f t="shared" si="35"/>
        <v>189595.01694915254</v>
      </c>
      <c r="CN58" s="74"/>
    </row>
    <row r="59" spans="1:92" ht="11.25" customHeight="1">
      <c r="A59" s="27">
        <v>51</v>
      </c>
      <c r="B59" s="27" t="s">
        <v>79</v>
      </c>
      <c r="C59" s="29" t="s">
        <v>82</v>
      </c>
      <c r="D59" s="31">
        <v>1987</v>
      </c>
      <c r="E59" s="32">
        <v>6</v>
      </c>
      <c r="F59" s="32">
        <v>5</v>
      </c>
      <c r="G59" s="32"/>
      <c r="H59" s="32">
        <v>90</v>
      </c>
      <c r="I59" s="32"/>
      <c r="J59" s="33">
        <v>517</v>
      </c>
      <c r="K59" s="34">
        <f>1011.4+88.2</f>
        <v>1099.6</v>
      </c>
      <c r="L59" s="35">
        <v>243.3</v>
      </c>
      <c r="M59" s="35">
        <v>1750</v>
      </c>
      <c r="N59" s="35">
        <v>2021</v>
      </c>
      <c r="O59" s="32"/>
      <c r="P59" s="27">
        <v>51</v>
      </c>
      <c r="Q59" s="43" t="s">
        <v>79</v>
      </c>
      <c r="R59" s="37" t="s">
        <v>82</v>
      </c>
      <c r="S59" s="79">
        <v>3967.46</v>
      </c>
      <c r="T59" s="79">
        <v>3967.46</v>
      </c>
      <c r="U59" s="23">
        <v>20.35</v>
      </c>
      <c r="V59" s="23">
        <v>21.98</v>
      </c>
      <c r="W59" s="23">
        <f>(S59*U59*6)+(3308.46*V59*6)+659*21.2*6</f>
        <v>1004571.3708000001</v>
      </c>
      <c r="X59" s="23">
        <f t="shared" si="1"/>
        <v>948075.2030197566</v>
      </c>
      <c r="Y59" s="23">
        <f t="shared" si="2"/>
        <v>56496.16778024356</v>
      </c>
      <c r="Z59" s="27">
        <v>51</v>
      </c>
      <c r="AA59" s="43" t="s">
        <v>79</v>
      </c>
      <c r="AB59" s="37" t="s">
        <v>82</v>
      </c>
      <c r="AC59" s="24">
        <f t="shared" si="3"/>
        <v>803453.5618811497</v>
      </c>
      <c r="AD59" s="15">
        <f t="shared" si="4"/>
        <v>200279.04181246282</v>
      </c>
      <c r="AE59" s="30">
        <f>2.04*1.078*0.997054</f>
        <v>2.19264139248</v>
      </c>
      <c r="AF59" s="15">
        <f t="shared" si="5"/>
        <v>148825.57831557238</v>
      </c>
      <c r="AG59" s="15">
        <f t="shared" si="6"/>
        <v>44945.32466737185</v>
      </c>
      <c r="AH59" s="30">
        <f t="shared" si="0"/>
        <v>193770.90298294422</v>
      </c>
      <c r="AI59" s="15">
        <f t="shared" si="7"/>
        <v>6508.138829518607</v>
      </c>
      <c r="AJ59" s="27">
        <v>51</v>
      </c>
      <c r="AK59" s="43" t="s">
        <v>79</v>
      </c>
      <c r="AL59" s="37" t="s">
        <v>82</v>
      </c>
      <c r="AM59" s="15">
        <f t="shared" si="8"/>
        <v>279845.9334519216</v>
      </c>
      <c r="AN59" s="30">
        <f>(0.93+0.018)*1.003*0.9976247</f>
        <v>0.9485854602467999</v>
      </c>
      <c r="AO59" s="15">
        <f t="shared" si="9"/>
        <v>133423.62940177933</v>
      </c>
      <c r="AP59" s="15">
        <f t="shared" si="10"/>
        <v>40293.93608897378</v>
      </c>
      <c r="AQ59" s="25">
        <f t="shared" si="11"/>
        <v>55407.18455786507</v>
      </c>
      <c r="AR59" s="26">
        <f t="shared" si="12"/>
        <v>1883.1571623694795</v>
      </c>
      <c r="AS59" s="27">
        <v>51</v>
      </c>
      <c r="AT59" s="43" t="s">
        <v>79</v>
      </c>
      <c r="AU59" s="37" t="s">
        <v>82</v>
      </c>
      <c r="AV59" s="26">
        <f t="shared" si="13"/>
        <v>3393.358212058212</v>
      </c>
      <c r="AW59" s="15">
        <f t="shared" si="14"/>
        <v>3393.358212058212</v>
      </c>
      <c r="AX59" s="26"/>
      <c r="AY59" s="30"/>
      <c r="AZ59" s="23">
        <f t="shared" si="15"/>
        <v>0.21228152123563807</v>
      </c>
      <c r="BA59" s="23">
        <f t="shared" si="16"/>
        <v>29756.46034407537</v>
      </c>
      <c r="BB59" s="23">
        <f t="shared" si="17"/>
        <v>8986.451111911101</v>
      </c>
      <c r="BC59" s="61">
        <f t="shared" si="18"/>
        <v>6701.756572889262</v>
      </c>
      <c r="BD59" s="27">
        <v>51</v>
      </c>
      <c r="BE59" s="43" t="s">
        <v>79</v>
      </c>
      <c r="BF59" s="37" t="s">
        <v>82</v>
      </c>
      <c r="BG59" s="15">
        <f t="shared" si="19"/>
        <v>11061.588586269634</v>
      </c>
      <c r="BH59" s="26">
        <f t="shared" si="20"/>
        <v>3534.8642247651674</v>
      </c>
      <c r="BI59" s="30"/>
      <c r="BJ59" s="30"/>
      <c r="BK59" s="30"/>
      <c r="BL59" s="30"/>
      <c r="BM59" s="27">
        <v>51</v>
      </c>
      <c r="BN59" s="43" t="s">
        <v>79</v>
      </c>
      <c r="BO59" s="37" t="s">
        <v>82</v>
      </c>
      <c r="BP59" s="15">
        <f t="shared" si="21"/>
        <v>500.66029106029106</v>
      </c>
      <c r="BQ59" s="30"/>
      <c r="BR59" s="30"/>
      <c r="BS59" s="15">
        <f t="shared" si="22"/>
        <v>3383.2714816691837</v>
      </c>
      <c r="BT59" s="30"/>
      <c r="BU59" s="15">
        <f t="shared" si="23"/>
        <v>3642.792588774992</v>
      </c>
      <c r="BV59" s="27">
        <v>51</v>
      </c>
      <c r="BW59" s="43" t="s">
        <v>79</v>
      </c>
      <c r="BX59" s="37" t="s">
        <v>82</v>
      </c>
      <c r="BY59" s="18">
        <f t="shared" si="24"/>
        <v>193452.85478721265</v>
      </c>
      <c r="BZ59" s="18">
        <f t="shared" si="25"/>
        <v>0.764213476448297</v>
      </c>
      <c r="CA59" s="15">
        <f t="shared" si="26"/>
        <v>138500.19304536885</v>
      </c>
      <c r="CB59" s="15">
        <f t="shared" si="27"/>
        <v>41827.05820398172</v>
      </c>
      <c r="CC59" s="15">
        <f t="shared" si="28"/>
        <v>13125.60353786208</v>
      </c>
      <c r="CD59" s="15">
        <f t="shared" si="29"/>
        <v>14040.507078483108</v>
      </c>
      <c r="CE59" s="27">
        <v>51</v>
      </c>
      <c r="CF59" s="43" t="s">
        <v>79</v>
      </c>
      <c r="CG59" s="37" t="s">
        <v>82</v>
      </c>
      <c r="CH59" s="15">
        <f t="shared" si="30"/>
        <v>66213.5770638104</v>
      </c>
      <c r="CI59" s="15">
        <f t="shared" si="31"/>
        <v>12737.059941456066</v>
      </c>
      <c r="CJ59" s="15">
        <f t="shared" si="32"/>
        <v>24798.489941409855</v>
      </c>
      <c r="CK59" s="62">
        <f t="shared" si="33"/>
        <v>1024.5092181234138</v>
      </c>
      <c r="CL59" s="67">
        <f t="shared" si="34"/>
        <v>227335.45799999998</v>
      </c>
      <c r="CM59" s="67">
        <f t="shared" si="35"/>
        <v>192657.16779661016</v>
      </c>
      <c r="CN59" s="74"/>
    </row>
    <row r="60" spans="1:92" ht="11.25" customHeight="1">
      <c r="A60" s="27">
        <v>52</v>
      </c>
      <c r="B60" s="27" t="s">
        <v>79</v>
      </c>
      <c r="C60" s="29" t="s">
        <v>83</v>
      </c>
      <c r="D60" s="31">
        <v>1995</v>
      </c>
      <c r="E60" s="32">
        <v>4</v>
      </c>
      <c r="F60" s="32">
        <v>5</v>
      </c>
      <c r="G60" s="32"/>
      <c r="H60" s="32">
        <v>80</v>
      </c>
      <c r="I60" s="32"/>
      <c r="J60" s="33">
        <v>496.3</v>
      </c>
      <c r="K60" s="34">
        <f>1325.1+78.4</f>
        <v>1403.5</v>
      </c>
      <c r="L60" s="35">
        <v>837.6</v>
      </c>
      <c r="M60" s="35">
        <v>820</v>
      </c>
      <c r="N60" s="35">
        <v>5924</v>
      </c>
      <c r="O60" s="32"/>
      <c r="P60" s="27">
        <v>52</v>
      </c>
      <c r="Q60" s="43" t="s">
        <v>79</v>
      </c>
      <c r="R60" s="37" t="s">
        <v>83</v>
      </c>
      <c r="S60" s="30">
        <v>4358.7</v>
      </c>
      <c r="T60" s="30">
        <v>4358.7</v>
      </c>
      <c r="U60" s="23">
        <v>20.35</v>
      </c>
      <c r="V60" s="23">
        <v>21.98</v>
      </c>
      <c r="W60" s="23">
        <f>(S60*U60*6)+(T60*V60*6)</f>
        <v>1107022.626</v>
      </c>
      <c r="X60" s="23">
        <f t="shared" si="1"/>
        <v>1044650.6339223576</v>
      </c>
      <c r="Y60" s="23">
        <f t="shared" si="2"/>
        <v>62371.99207764235</v>
      </c>
      <c r="Z60" s="27">
        <v>52</v>
      </c>
      <c r="AA60" s="43" t="s">
        <v>79</v>
      </c>
      <c r="AB60" s="37" t="s">
        <v>83</v>
      </c>
      <c r="AC60" s="24">
        <f t="shared" si="3"/>
        <v>885297.1473918285</v>
      </c>
      <c r="AD60" s="15">
        <f t="shared" si="4"/>
        <v>234640.6421234246</v>
      </c>
      <c r="AE60" s="30">
        <f>2.39*1.078*0.997054</f>
        <v>2.5688298666800002</v>
      </c>
      <c r="AF60" s="15">
        <f t="shared" si="5"/>
        <v>174359.37851677352</v>
      </c>
      <c r="AG60" s="15">
        <f t="shared" si="6"/>
        <v>52656.53233089153</v>
      </c>
      <c r="AH60" s="30">
        <f t="shared" si="0"/>
        <v>227015.91084766504</v>
      </c>
      <c r="AI60" s="15">
        <f t="shared" si="7"/>
        <v>7624.731275759545</v>
      </c>
      <c r="AJ60" s="27">
        <v>52</v>
      </c>
      <c r="AK60" s="43" t="s">
        <v>79</v>
      </c>
      <c r="AL60" s="37" t="s">
        <v>83</v>
      </c>
      <c r="AM60" s="15">
        <f t="shared" si="8"/>
        <v>295548.77220130275</v>
      </c>
      <c r="AN60" s="30">
        <f>(0.961+0.02)*1.003*0.9976247</f>
        <v>0.9816058401921</v>
      </c>
      <c r="AO60" s="15">
        <f t="shared" si="9"/>
        <v>138068.12283032227</v>
      </c>
      <c r="AP60" s="15">
        <f t="shared" si="10"/>
        <v>41696.5731047292</v>
      </c>
      <c r="AQ60" s="25">
        <f t="shared" si="11"/>
        <v>60871.00949533618</v>
      </c>
      <c r="AR60" s="26">
        <f t="shared" si="12"/>
        <v>1970.6811692330214</v>
      </c>
      <c r="AS60" s="27">
        <v>52</v>
      </c>
      <c r="AT60" s="43" t="s">
        <v>79</v>
      </c>
      <c r="AU60" s="37" t="s">
        <v>83</v>
      </c>
      <c r="AV60" s="26">
        <f t="shared" si="13"/>
        <v>3016.3184107184106</v>
      </c>
      <c r="AW60" s="15">
        <f t="shared" si="14"/>
        <v>3016.3184107184106</v>
      </c>
      <c r="AX60" s="26"/>
      <c r="AY60" s="30"/>
      <c r="AZ60" s="23">
        <f t="shared" si="15"/>
        <v>0.23321507125712057</v>
      </c>
      <c r="BA60" s="23">
        <f t="shared" si="16"/>
        <v>32690.81067023267</v>
      </c>
      <c r="BB60" s="23">
        <f t="shared" si="17"/>
        <v>9872.624919088514</v>
      </c>
      <c r="BC60" s="61">
        <f t="shared" si="18"/>
        <v>7362.631601642468</v>
      </c>
      <c r="BD60" s="27">
        <v>52</v>
      </c>
      <c r="BE60" s="43" t="s">
        <v>79</v>
      </c>
      <c r="BF60" s="37" t="s">
        <v>83</v>
      </c>
      <c r="BG60" s="15">
        <f t="shared" si="19"/>
        <v>12047.39614737896</v>
      </c>
      <c r="BH60" s="26">
        <f t="shared" si="20"/>
        <v>3883.4449991893894</v>
      </c>
      <c r="BI60" s="30"/>
      <c r="BJ60" s="30"/>
      <c r="BK60" s="30"/>
      <c r="BL60" s="30"/>
      <c r="BM60" s="27">
        <v>52</v>
      </c>
      <c r="BN60" s="43" t="s">
        <v>79</v>
      </c>
      <c r="BO60" s="37" t="s">
        <v>83</v>
      </c>
      <c r="BP60" s="15">
        <f t="shared" si="21"/>
        <v>445.03136983136983</v>
      </c>
      <c r="BQ60" s="30"/>
      <c r="BR60" s="30"/>
      <c r="BS60" s="15">
        <f t="shared" si="22"/>
        <v>3716.9033606265643</v>
      </c>
      <c r="BT60" s="30"/>
      <c r="BU60" s="15">
        <f t="shared" si="23"/>
        <v>4002.016417731636</v>
      </c>
      <c r="BV60" s="27">
        <v>52</v>
      </c>
      <c r="BW60" s="43" t="s">
        <v>79</v>
      </c>
      <c r="BX60" s="37" t="s">
        <v>83</v>
      </c>
      <c r="BY60" s="18">
        <f t="shared" si="24"/>
        <v>212529.66839262997</v>
      </c>
      <c r="BZ60" s="18">
        <f t="shared" si="25"/>
        <v>0.839574256525634</v>
      </c>
      <c r="CA60" s="15">
        <f t="shared" si="26"/>
        <v>152158.00321284882</v>
      </c>
      <c r="CB60" s="15">
        <f t="shared" si="27"/>
        <v>45951.71686512155</v>
      </c>
      <c r="CC60" s="15">
        <f t="shared" si="28"/>
        <v>14419.948314659618</v>
      </c>
      <c r="CD60" s="15">
        <f t="shared" si="29"/>
        <v>15425.07251566098</v>
      </c>
      <c r="CE60" s="27">
        <v>52</v>
      </c>
      <c r="CF60" s="43" t="s">
        <v>79</v>
      </c>
      <c r="CG60" s="37" t="s">
        <v>83</v>
      </c>
      <c r="CH60" s="15">
        <f t="shared" si="30"/>
        <v>72743.04425199759</v>
      </c>
      <c r="CI60" s="15">
        <f t="shared" si="31"/>
        <v>13993.089575402033</v>
      </c>
      <c r="CJ60" s="15">
        <f t="shared" si="32"/>
        <v>27243.923847404418</v>
      </c>
      <c r="CK60" s="62">
        <f t="shared" si="33"/>
        <v>1125.5383366270923</v>
      </c>
      <c r="CL60" s="67">
        <f t="shared" si="34"/>
        <v>249753.51</v>
      </c>
      <c r="CM60" s="67">
        <f t="shared" si="35"/>
        <v>211655.51694915254</v>
      </c>
      <c r="CN60" s="74"/>
    </row>
    <row r="61" spans="1:92" ht="11.25" customHeight="1">
      <c r="A61" s="27">
        <v>53</v>
      </c>
      <c r="B61" s="27" t="s">
        <v>84</v>
      </c>
      <c r="C61" s="29">
        <v>14</v>
      </c>
      <c r="D61" s="31">
        <v>1952</v>
      </c>
      <c r="E61" s="32">
        <v>1</v>
      </c>
      <c r="F61" s="32">
        <v>2</v>
      </c>
      <c r="G61" s="32"/>
      <c r="H61" s="32">
        <v>8</v>
      </c>
      <c r="I61" s="32"/>
      <c r="J61" s="33">
        <v>54.8</v>
      </c>
      <c r="K61" s="34">
        <f>238+271+35</f>
        <v>544</v>
      </c>
      <c r="L61" s="35">
        <v>0</v>
      </c>
      <c r="M61" s="35">
        <v>0</v>
      </c>
      <c r="N61" s="35">
        <v>1567</v>
      </c>
      <c r="O61" s="32"/>
      <c r="P61" s="27">
        <v>53</v>
      </c>
      <c r="Q61" s="43" t="s">
        <v>84</v>
      </c>
      <c r="R61" s="37">
        <v>14</v>
      </c>
      <c r="S61" s="79">
        <v>549.5</v>
      </c>
      <c r="T61" s="79">
        <v>549.5</v>
      </c>
      <c r="U61" s="23">
        <v>13.68</v>
      </c>
      <c r="V61" s="23">
        <v>14.24</v>
      </c>
      <c r="W61" s="23">
        <f t="shared" si="36"/>
        <v>92052.23999999999</v>
      </c>
      <c r="X61" s="23">
        <f t="shared" si="1"/>
        <v>135948.6664553353</v>
      </c>
      <c r="Y61" s="23">
        <f t="shared" si="2"/>
        <v>-43896.42645533531</v>
      </c>
      <c r="Z61" s="27">
        <v>53</v>
      </c>
      <c r="AA61" s="43" t="s">
        <v>84</v>
      </c>
      <c r="AB61" s="37">
        <v>14</v>
      </c>
      <c r="AC61" s="24">
        <f t="shared" si="3"/>
        <v>115210.73428418246</v>
      </c>
      <c r="AD61" s="15">
        <f t="shared" si="4"/>
        <v>42215.680382038736</v>
      </c>
      <c r="AE61" s="30">
        <f>0.43*1.078*0.997054</f>
        <v>0.46217441116</v>
      </c>
      <c r="AF61" s="15">
        <f t="shared" si="5"/>
        <v>31370.097390047118</v>
      </c>
      <c r="AG61" s="15">
        <f t="shared" si="6"/>
        <v>9473.769415181323</v>
      </c>
      <c r="AH61" s="30">
        <f t="shared" si="0"/>
        <v>40843.86680522844</v>
      </c>
      <c r="AI61" s="15">
        <f t="shared" si="7"/>
        <v>1371.8135768102945</v>
      </c>
      <c r="AJ61" s="27">
        <v>53</v>
      </c>
      <c r="AK61" s="43" t="s">
        <v>84</v>
      </c>
      <c r="AL61" s="37">
        <v>14</v>
      </c>
      <c r="AM61" s="15">
        <f t="shared" si="8"/>
        <v>27628.090474099106</v>
      </c>
      <c r="AN61" s="30">
        <f>(0.054+0.018)*1.003*0.9976247</f>
        <v>0.0720444653352</v>
      </c>
      <c r="AO61" s="15">
        <f t="shared" si="9"/>
        <v>10133.440207730075</v>
      </c>
      <c r="AP61" s="15">
        <f t="shared" si="10"/>
        <v>3060.2989434663627</v>
      </c>
      <c r="AQ61" s="25">
        <f t="shared" si="11"/>
        <v>7673.989886362271</v>
      </c>
      <c r="AR61" s="26">
        <f t="shared" si="12"/>
        <v>164.56529844546864</v>
      </c>
      <c r="AS61" s="27">
        <v>53</v>
      </c>
      <c r="AT61" s="43" t="s">
        <v>84</v>
      </c>
      <c r="AU61" s="37">
        <v>14</v>
      </c>
      <c r="AV61" s="26">
        <f t="shared" si="13"/>
        <v>301.63184107184105</v>
      </c>
      <c r="AW61" s="15">
        <f t="shared" si="14"/>
        <v>301.63184107184105</v>
      </c>
      <c r="AX61" s="26"/>
      <c r="AY61" s="30"/>
      <c r="AZ61" s="23">
        <f t="shared" si="15"/>
        <v>0.029401353994490963</v>
      </c>
      <c r="BA61" s="23">
        <f t="shared" si="16"/>
        <v>4121.320683527853</v>
      </c>
      <c r="BB61" s="23">
        <f t="shared" si="17"/>
        <v>1244.6388586136093</v>
      </c>
      <c r="BC61" s="61">
        <f t="shared" si="18"/>
        <v>928.2047548816244</v>
      </c>
      <c r="BD61" s="27">
        <v>53</v>
      </c>
      <c r="BE61" s="43" t="s">
        <v>84</v>
      </c>
      <c r="BF61" s="37">
        <v>14</v>
      </c>
      <c r="BG61" s="15">
        <f t="shared" si="19"/>
        <v>2117.449780079106</v>
      </c>
      <c r="BH61" s="26">
        <f t="shared" si="20"/>
        <v>489.58474477586657</v>
      </c>
      <c r="BI61" s="30"/>
      <c r="BJ61" s="30"/>
      <c r="BK61" s="30"/>
      <c r="BL61" s="30"/>
      <c r="BM61" s="27">
        <v>53</v>
      </c>
      <c r="BN61" s="43" t="s">
        <v>84</v>
      </c>
      <c r="BO61" s="37">
        <v>14</v>
      </c>
      <c r="BP61" s="15">
        <f t="shared" si="21"/>
        <v>44.50313698313698</v>
      </c>
      <c r="BQ61" s="30">
        <f>19.07*H61*4</f>
        <v>610.24</v>
      </c>
      <c r="BR61" s="30"/>
      <c r="BS61" s="15">
        <f t="shared" si="22"/>
        <v>468.5888904178533</v>
      </c>
      <c r="BT61" s="30"/>
      <c r="BU61" s="15">
        <f t="shared" si="23"/>
        <v>504.5330079022493</v>
      </c>
      <c r="BV61" s="27">
        <v>53</v>
      </c>
      <c r="BW61" s="43" t="s">
        <v>84</v>
      </c>
      <c r="BX61" s="37">
        <v>14</v>
      </c>
      <c r="BY61" s="18">
        <f t="shared" si="24"/>
        <v>26793.55146758212</v>
      </c>
      <c r="BZ61" s="18">
        <f t="shared" si="25"/>
        <v>0.10584487438016746</v>
      </c>
      <c r="CA61" s="15">
        <f t="shared" si="26"/>
        <v>19182.513769119334</v>
      </c>
      <c r="CB61" s="15">
        <f t="shared" si="27"/>
        <v>5793.119145016701</v>
      </c>
      <c r="CC61" s="15">
        <f t="shared" si="28"/>
        <v>1817.9185534460871</v>
      </c>
      <c r="CD61" s="15">
        <f t="shared" si="29"/>
        <v>1944.6342596085321</v>
      </c>
      <c r="CE61" s="27">
        <v>53</v>
      </c>
      <c r="CF61" s="43" t="s">
        <v>84</v>
      </c>
      <c r="CG61" s="37">
        <v>14</v>
      </c>
      <c r="CH61" s="15">
        <f t="shared" si="30"/>
        <v>9170.693742738129</v>
      </c>
      <c r="CI61" s="15">
        <f t="shared" si="31"/>
        <v>1764.1046003816316</v>
      </c>
      <c r="CJ61" s="15">
        <f t="shared" si="32"/>
        <v>3434.6332975769674</v>
      </c>
      <c r="CK61" s="62">
        <f t="shared" si="33"/>
        <v>141.89628007813965</v>
      </c>
      <c r="CL61" s="67">
        <f t="shared" si="34"/>
        <v>31486.35</v>
      </c>
      <c r="CM61" s="67">
        <f t="shared" si="35"/>
        <v>26683.34745762712</v>
      </c>
      <c r="CN61" s="74"/>
    </row>
    <row r="62" spans="1:92" ht="11.25" customHeight="1">
      <c r="A62" s="27">
        <v>54</v>
      </c>
      <c r="B62" s="27" t="s">
        <v>84</v>
      </c>
      <c r="C62" s="29">
        <v>15</v>
      </c>
      <c r="D62" s="31">
        <v>1973</v>
      </c>
      <c r="E62" s="32">
        <v>6</v>
      </c>
      <c r="F62" s="32">
        <v>5</v>
      </c>
      <c r="G62" s="32"/>
      <c r="H62" s="32">
        <v>100</v>
      </c>
      <c r="I62" s="32"/>
      <c r="J62" s="33">
        <v>490</v>
      </c>
      <c r="K62" s="34">
        <f>679+70+138</f>
        <v>887</v>
      </c>
      <c r="L62" s="35">
        <v>388</v>
      </c>
      <c r="M62" s="35">
        <v>899</v>
      </c>
      <c r="N62" s="35">
        <v>2113</v>
      </c>
      <c r="O62" s="32"/>
      <c r="P62" s="27">
        <v>54</v>
      </c>
      <c r="Q62" s="43" t="s">
        <v>84</v>
      </c>
      <c r="R62" s="37">
        <v>15</v>
      </c>
      <c r="S62" s="79">
        <v>4506</v>
      </c>
      <c r="T62" s="79">
        <v>4506</v>
      </c>
      <c r="U62" s="23">
        <v>20.35</v>
      </c>
      <c r="V62" s="23">
        <v>21.98</v>
      </c>
      <c r="W62" s="23">
        <f t="shared" si="36"/>
        <v>1144433.8800000001</v>
      </c>
      <c r="X62" s="23">
        <f t="shared" si="1"/>
        <v>1093566.5497964039</v>
      </c>
      <c r="Y62" s="23">
        <f t="shared" si="2"/>
        <v>50867.33020359627</v>
      </c>
      <c r="Z62" s="27">
        <v>54</v>
      </c>
      <c r="AA62" s="43" t="s">
        <v>84</v>
      </c>
      <c r="AB62" s="37">
        <v>15</v>
      </c>
      <c r="AC62" s="24">
        <f t="shared" si="3"/>
        <v>926751.3133867829</v>
      </c>
      <c r="AD62" s="15">
        <f t="shared" si="4"/>
        <v>160026.8814481933</v>
      </c>
      <c r="AE62" s="30">
        <f>1.63*1.078*0.997054</f>
        <v>1.7519634655599998</v>
      </c>
      <c r="AF62" s="15">
        <f t="shared" si="5"/>
        <v>118914.55522273673</v>
      </c>
      <c r="AG62" s="15">
        <f t="shared" si="6"/>
        <v>35912.19569010594</v>
      </c>
      <c r="AH62" s="30">
        <f t="shared" si="0"/>
        <v>154826.75091284266</v>
      </c>
      <c r="AI62" s="15">
        <f t="shared" si="7"/>
        <v>5200.130535350651</v>
      </c>
      <c r="AJ62" s="27">
        <v>54</v>
      </c>
      <c r="AK62" s="43" t="s">
        <v>84</v>
      </c>
      <c r="AL62" s="37">
        <v>15</v>
      </c>
      <c r="AM62" s="15">
        <f t="shared" si="8"/>
        <v>399519.79944782343</v>
      </c>
      <c r="AN62" s="30">
        <f>(1.499+0.02)*1.003*0.9976247</f>
        <v>1.5199380950579</v>
      </c>
      <c r="AO62" s="15">
        <f t="shared" si="9"/>
        <v>213787.43993808312</v>
      </c>
      <c r="AP62" s="15">
        <f t="shared" si="10"/>
        <v>64563.80687674174</v>
      </c>
      <c r="AQ62" s="25">
        <f t="shared" si="11"/>
        <v>62928.113608641295</v>
      </c>
      <c r="AR62" s="26">
        <f t="shared" si="12"/>
        <v>2856.7483405570124</v>
      </c>
      <c r="AS62" s="27">
        <v>54</v>
      </c>
      <c r="AT62" s="43" t="s">
        <v>84</v>
      </c>
      <c r="AU62" s="37">
        <v>15</v>
      </c>
      <c r="AV62" s="26">
        <f t="shared" si="13"/>
        <v>3770.398013398013</v>
      </c>
      <c r="AW62" s="15">
        <f t="shared" si="14"/>
        <v>3770.398013398013</v>
      </c>
      <c r="AX62" s="26"/>
      <c r="AY62" s="30"/>
      <c r="AZ62" s="23">
        <f t="shared" si="15"/>
        <v>0.24109645331970206</v>
      </c>
      <c r="BA62" s="23">
        <f t="shared" si="16"/>
        <v>33795.57961779164</v>
      </c>
      <c r="BB62" s="23">
        <f t="shared" si="17"/>
        <v>10206.265144518515</v>
      </c>
      <c r="BC62" s="61">
        <f t="shared" si="18"/>
        <v>7611.447908092083</v>
      </c>
      <c r="BD62" s="27">
        <v>54</v>
      </c>
      <c r="BE62" s="43" t="s">
        <v>84</v>
      </c>
      <c r="BF62" s="37">
        <v>15</v>
      </c>
      <c r="BG62" s="15">
        <f t="shared" si="19"/>
        <v>12550.749874328227</v>
      </c>
      <c r="BH62" s="26">
        <f t="shared" si="20"/>
        <v>4014.6840035669784</v>
      </c>
      <c r="BI62" s="30"/>
      <c r="BJ62" s="30"/>
      <c r="BK62" s="30"/>
      <c r="BL62" s="30"/>
      <c r="BM62" s="27">
        <v>54</v>
      </c>
      <c r="BN62" s="43" t="s">
        <v>84</v>
      </c>
      <c r="BO62" s="37">
        <v>15</v>
      </c>
      <c r="BP62" s="15">
        <f t="shared" si="21"/>
        <v>556.2892122892123</v>
      </c>
      <c r="BQ62" s="30"/>
      <c r="BR62" s="30"/>
      <c r="BS62" s="15">
        <f t="shared" si="22"/>
        <v>3842.514176929658</v>
      </c>
      <c r="BT62" s="30"/>
      <c r="BU62" s="15">
        <f t="shared" si="23"/>
        <v>4137.262481542376</v>
      </c>
      <c r="BV62" s="27">
        <v>54</v>
      </c>
      <c r="BW62" s="43" t="s">
        <v>84</v>
      </c>
      <c r="BX62" s="37">
        <v>15</v>
      </c>
      <c r="BY62" s="18">
        <f t="shared" si="24"/>
        <v>219711.99802170164</v>
      </c>
      <c r="BZ62" s="18">
        <f t="shared" si="25"/>
        <v>0.8679472319509274</v>
      </c>
      <c r="CA62" s="15">
        <f t="shared" si="26"/>
        <v>157300.10381010323</v>
      </c>
      <c r="CB62" s="15">
        <f t="shared" si="27"/>
        <v>47504.631241938594</v>
      </c>
      <c r="CC62" s="15">
        <f t="shared" si="28"/>
        <v>14907.262969659816</v>
      </c>
      <c r="CD62" s="15">
        <f t="shared" si="29"/>
        <v>15946.35482037497</v>
      </c>
      <c r="CE62" s="27">
        <v>54</v>
      </c>
      <c r="CF62" s="43" t="s">
        <v>84</v>
      </c>
      <c r="CG62" s="37">
        <v>15</v>
      </c>
      <c r="CH62" s="15">
        <f t="shared" si="30"/>
        <v>75201.35760651139</v>
      </c>
      <c r="CI62" s="15">
        <f t="shared" si="31"/>
        <v>14465.978761273216</v>
      </c>
      <c r="CJ62" s="15">
        <f t="shared" si="32"/>
        <v>28164.61808713706</v>
      </c>
      <c r="CK62" s="62">
        <f t="shared" si="33"/>
        <v>1163.5753194396675</v>
      </c>
      <c r="CL62" s="67">
        <f t="shared" si="34"/>
        <v>258193.8</v>
      </c>
      <c r="CM62" s="67">
        <f t="shared" si="35"/>
        <v>218808.30508474575</v>
      </c>
      <c r="CN62" s="74"/>
    </row>
    <row r="63" spans="1:92" ht="11.25" customHeight="1">
      <c r="A63" s="27">
        <v>55</v>
      </c>
      <c r="B63" s="27" t="s">
        <v>84</v>
      </c>
      <c r="C63" s="29">
        <v>16</v>
      </c>
      <c r="D63" s="31">
        <v>1956</v>
      </c>
      <c r="E63" s="32">
        <v>2</v>
      </c>
      <c r="F63" s="32">
        <v>2</v>
      </c>
      <c r="G63" s="32"/>
      <c r="H63" s="32">
        <v>8</v>
      </c>
      <c r="I63" s="32"/>
      <c r="J63" s="33">
        <v>56.3</v>
      </c>
      <c r="K63" s="34">
        <v>50</v>
      </c>
      <c r="L63" s="35">
        <v>0</v>
      </c>
      <c r="M63" s="35">
        <v>0</v>
      </c>
      <c r="N63" s="35">
        <v>469</v>
      </c>
      <c r="O63" s="32"/>
      <c r="P63" s="27">
        <v>55</v>
      </c>
      <c r="Q63" s="43" t="s">
        <v>84</v>
      </c>
      <c r="R63" s="37">
        <v>16</v>
      </c>
      <c r="S63" s="79">
        <v>383.6</v>
      </c>
      <c r="T63" s="79">
        <v>383.6</v>
      </c>
      <c r="U63" s="23">
        <v>13.68</v>
      </c>
      <c r="V63" s="23">
        <v>14.24</v>
      </c>
      <c r="W63" s="23">
        <f t="shared" si="36"/>
        <v>64260.672000000006</v>
      </c>
      <c r="X63" s="23">
        <f t="shared" si="1"/>
        <v>96726.35758120463</v>
      </c>
      <c r="Y63" s="23">
        <f t="shared" si="2"/>
        <v>-32465.685581204627</v>
      </c>
      <c r="Z63" s="27">
        <v>55</v>
      </c>
      <c r="AA63" s="43" t="s">
        <v>84</v>
      </c>
      <c r="AB63" s="37">
        <v>16</v>
      </c>
      <c r="AC63" s="24">
        <f t="shared" si="3"/>
        <v>81971.48947559715</v>
      </c>
      <c r="AD63" s="15">
        <f t="shared" si="4"/>
        <v>13744.640124384705</v>
      </c>
      <c r="AE63" s="30">
        <f>0.14*1.078*0.997054</f>
        <v>0.15047538968000002</v>
      </c>
      <c r="AF63" s="15">
        <f t="shared" si="5"/>
        <v>10213.520080480457</v>
      </c>
      <c r="AG63" s="15">
        <f t="shared" si="6"/>
        <v>3084.4830654078723</v>
      </c>
      <c r="AH63" s="30">
        <f t="shared" si="0"/>
        <v>13298.00314588833</v>
      </c>
      <c r="AI63" s="15">
        <f t="shared" si="7"/>
        <v>446.63697849637504</v>
      </c>
      <c r="AJ63" s="27">
        <v>55</v>
      </c>
      <c r="AK63" s="43" t="s">
        <v>84</v>
      </c>
      <c r="AL63" s="37">
        <v>16</v>
      </c>
      <c r="AM63" s="15">
        <f t="shared" si="8"/>
        <v>36358.98937409977</v>
      </c>
      <c r="AN63" s="30">
        <f>(0.14+0.00211665)*1.003*0.9976247</f>
        <v>0.14220441756221877</v>
      </c>
      <c r="AO63" s="15">
        <f t="shared" si="9"/>
        <v>20001.8135458042</v>
      </c>
      <c r="AP63" s="15">
        <f t="shared" si="10"/>
        <v>6040.547692277485</v>
      </c>
      <c r="AQ63" s="25">
        <f t="shared" si="11"/>
        <v>5357.129245511496</v>
      </c>
      <c r="AR63" s="26">
        <f t="shared" si="12"/>
        <v>263.9791070543008</v>
      </c>
      <c r="AS63" s="27">
        <v>55</v>
      </c>
      <c r="AT63" s="43" t="s">
        <v>84</v>
      </c>
      <c r="AU63" s="37">
        <v>16</v>
      </c>
      <c r="AV63" s="26">
        <f t="shared" si="13"/>
        <v>301.63184107184105</v>
      </c>
      <c r="AW63" s="15">
        <f t="shared" si="14"/>
        <v>301.63184107184105</v>
      </c>
      <c r="AX63" s="26"/>
      <c r="AY63" s="30"/>
      <c r="AZ63" s="23">
        <f t="shared" si="15"/>
        <v>0.020524766864944012</v>
      </c>
      <c r="BA63" s="23">
        <f t="shared" si="16"/>
        <v>2877.0493434054315</v>
      </c>
      <c r="BB63" s="23">
        <f t="shared" si="17"/>
        <v>868.8689102168892</v>
      </c>
      <c r="BC63" s="61">
        <f t="shared" si="18"/>
        <v>647.9696887581276</v>
      </c>
      <c r="BD63" s="27">
        <v>55</v>
      </c>
      <c r="BE63" s="43" t="s">
        <v>84</v>
      </c>
      <c r="BF63" s="37">
        <v>16</v>
      </c>
      <c r="BG63" s="15">
        <f t="shared" si="19"/>
        <v>1675.8428063036354</v>
      </c>
      <c r="BH63" s="26">
        <f t="shared" si="20"/>
        <v>341.77380909194255</v>
      </c>
      <c r="BI63" s="30"/>
      <c r="BJ63" s="30"/>
      <c r="BK63" s="30"/>
      <c r="BL63" s="30"/>
      <c r="BM63" s="27">
        <v>55</v>
      </c>
      <c r="BN63" s="43" t="s">
        <v>84</v>
      </c>
      <c r="BO63" s="37">
        <v>16</v>
      </c>
      <c r="BP63" s="15">
        <f t="shared" si="21"/>
        <v>44.50313698313698</v>
      </c>
      <c r="BQ63" s="30">
        <f>19.07*H63*4</f>
        <v>610.24</v>
      </c>
      <c r="BR63" s="30"/>
      <c r="BS63" s="15">
        <f t="shared" si="22"/>
        <v>327.1168305082594</v>
      </c>
      <c r="BT63" s="30"/>
      <c r="BU63" s="15">
        <f t="shared" si="23"/>
        <v>352.20902972029637</v>
      </c>
      <c r="BV63" s="27">
        <v>55</v>
      </c>
      <c r="BW63" s="43" t="s">
        <v>84</v>
      </c>
      <c r="BX63" s="37">
        <v>16</v>
      </c>
      <c r="BY63" s="18">
        <f t="shared" si="24"/>
        <v>18704.288158261148</v>
      </c>
      <c r="BZ63" s="18">
        <f t="shared" si="25"/>
        <v>0.07388916071379843</v>
      </c>
      <c r="CA63" s="15">
        <f t="shared" si="26"/>
        <v>13391.105153474387</v>
      </c>
      <c r="CB63" s="15">
        <f t="shared" si="27"/>
        <v>4044.113747094461</v>
      </c>
      <c r="CC63" s="15">
        <f t="shared" si="28"/>
        <v>1269.0692576923004</v>
      </c>
      <c r="CD63" s="15">
        <f t="shared" si="29"/>
        <v>1357.5281200834086</v>
      </c>
      <c r="CE63" s="27">
        <v>55</v>
      </c>
      <c r="CF63" s="43" t="s">
        <v>84</v>
      </c>
      <c r="CG63" s="37">
        <v>16</v>
      </c>
      <c r="CH63" s="15">
        <f t="shared" si="30"/>
        <v>6401.962001299993</v>
      </c>
      <c r="CI63" s="15">
        <f t="shared" si="31"/>
        <v>1231.5023197568587</v>
      </c>
      <c r="CJ63" s="15">
        <f t="shared" si="32"/>
        <v>2397.6803147416285</v>
      </c>
      <c r="CK63" s="62">
        <f t="shared" si="33"/>
        <v>99.05625666601341</v>
      </c>
      <c r="CL63" s="67">
        <f t="shared" si="34"/>
        <v>21980.280000000002</v>
      </c>
      <c r="CM63" s="67">
        <f t="shared" si="35"/>
        <v>18627.355932203394</v>
      </c>
      <c r="CN63" s="74"/>
    </row>
    <row r="64" spans="1:92" ht="11.25" customHeight="1">
      <c r="A64" s="27">
        <v>56</v>
      </c>
      <c r="B64" s="27" t="s">
        <v>84</v>
      </c>
      <c r="C64" s="29" t="s">
        <v>85</v>
      </c>
      <c r="D64" s="31">
        <v>1959</v>
      </c>
      <c r="E64" s="32">
        <v>2</v>
      </c>
      <c r="F64" s="32">
        <v>2</v>
      </c>
      <c r="G64" s="32"/>
      <c r="H64" s="32">
        <v>16</v>
      </c>
      <c r="I64" s="32"/>
      <c r="J64" s="33">
        <v>52.8</v>
      </c>
      <c r="K64" s="34">
        <v>225</v>
      </c>
      <c r="L64" s="35">
        <v>0</v>
      </c>
      <c r="M64" s="35">
        <v>0</v>
      </c>
      <c r="N64" s="35">
        <v>2351</v>
      </c>
      <c r="O64" s="32"/>
      <c r="P64" s="27">
        <v>56</v>
      </c>
      <c r="Q64" s="43" t="s">
        <v>84</v>
      </c>
      <c r="R64" s="37" t="s">
        <v>85</v>
      </c>
      <c r="S64" s="30">
        <v>537.8</v>
      </c>
      <c r="T64" s="30">
        <v>537.8</v>
      </c>
      <c r="U64" s="23">
        <v>13.68</v>
      </c>
      <c r="V64" s="23">
        <v>14.24</v>
      </c>
      <c r="W64" s="23">
        <f t="shared" si="36"/>
        <v>90092.256</v>
      </c>
      <c r="X64" s="23">
        <f t="shared" si="1"/>
        <v>171091.73452883455</v>
      </c>
      <c r="Y64" s="23">
        <f t="shared" si="2"/>
        <v>-80999.47852883456</v>
      </c>
      <c r="Z64" s="27">
        <v>56</v>
      </c>
      <c r="AA64" s="43" t="s">
        <v>84</v>
      </c>
      <c r="AB64" s="37" t="s">
        <v>85</v>
      </c>
      <c r="AC64" s="24">
        <f t="shared" si="3"/>
        <v>144992.99536341912</v>
      </c>
      <c r="AD64" s="15">
        <f t="shared" si="4"/>
        <v>41233.92037315411</v>
      </c>
      <c r="AE64" s="30">
        <f>0.42*1.078*0.997054</f>
        <v>0.45142616904</v>
      </c>
      <c r="AF64" s="15">
        <f t="shared" si="5"/>
        <v>30640.56024144137</v>
      </c>
      <c r="AG64" s="15">
        <f t="shared" si="6"/>
        <v>9253.449196223617</v>
      </c>
      <c r="AH64" s="30">
        <f t="shared" si="0"/>
        <v>39894.00943766499</v>
      </c>
      <c r="AI64" s="15">
        <f t="shared" si="7"/>
        <v>1339.910935489125</v>
      </c>
      <c r="AJ64" s="27">
        <v>56</v>
      </c>
      <c r="AK64" s="43" t="s">
        <v>84</v>
      </c>
      <c r="AL64" s="37" t="s">
        <v>85</v>
      </c>
      <c r="AM64" s="15">
        <f t="shared" si="8"/>
        <v>58689.38476264477</v>
      </c>
      <c r="AN64" s="30">
        <f>(0.221+0.019)*1.003*0.9976247</f>
        <v>0.24014821778399997</v>
      </c>
      <c r="AO64" s="15">
        <f t="shared" si="9"/>
        <v>33778.134025766914</v>
      </c>
      <c r="AP64" s="15">
        <f t="shared" si="10"/>
        <v>10200.99647822121</v>
      </c>
      <c r="AQ64" s="25">
        <f t="shared" si="11"/>
        <v>7510.594651293229</v>
      </c>
      <c r="AR64" s="26">
        <f t="shared" si="12"/>
        <v>436.24750130887344</v>
      </c>
      <c r="AS64" s="27">
        <v>56</v>
      </c>
      <c r="AT64" s="43" t="s">
        <v>84</v>
      </c>
      <c r="AU64" s="37" t="s">
        <v>85</v>
      </c>
      <c r="AV64" s="26">
        <f t="shared" si="13"/>
        <v>603.2636821436821</v>
      </c>
      <c r="AW64" s="15">
        <f t="shared" si="14"/>
        <v>603.2636821436821</v>
      </c>
      <c r="AX64" s="26"/>
      <c r="AY64" s="30"/>
      <c r="AZ64" s="23">
        <f t="shared" si="15"/>
        <v>0.028775337903980416</v>
      </c>
      <c r="BA64" s="23">
        <f t="shared" si="16"/>
        <v>4033.5691785282606</v>
      </c>
      <c r="BB64" s="23">
        <f t="shared" si="17"/>
        <v>1218.1379038442203</v>
      </c>
      <c r="BC64" s="61">
        <f t="shared" si="18"/>
        <v>908.4413415383759</v>
      </c>
      <c r="BD64" s="27">
        <v>56</v>
      </c>
      <c r="BE64" s="43" t="s">
        <v>84</v>
      </c>
      <c r="BF64" s="37" t="s">
        <v>85</v>
      </c>
      <c r="BG64" s="15">
        <f t="shared" si="19"/>
        <v>2741.048844770664</v>
      </c>
      <c r="BH64" s="26">
        <f t="shared" si="20"/>
        <v>479.1604654057525</v>
      </c>
      <c r="BI64" s="30"/>
      <c r="BJ64" s="30"/>
      <c r="BK64" s="30"/>
      <c r="BL64" s="30"/>
      <c r="BM64" s="27">
        <v>56</v>
      </c>
      <c r="BN64" s="43" t="s">
        <v>84</v>
      </c>
      <c r="BO64" s="37" t="s">
        <v>85</v>
      </c>
      <c r="BP64" s="15">
        <f t="shared" si="21"/>
        <v>89.00627396627397</v>
      </c>
      <c r="BQ64" s="30">
        <f>19.07*H64*4</f>
        <v>1220.48</v>
      </c>
      <c r="BR64" s="30"/>
      <c r="BS64" s="15">
        <f t="shared" si="22"/>
        <v>458.61165653634487</v>
      </c>
      <c r="BT64" s="30"/>
      <c r="BU64" s="15">
        <f t="shared" si="23"/>
        <v>493.79044886229235</v>
      </c>
      <c r="BV64" s="27">
        <v>56</v>
      </c>
      <c r="BW64" s="43" t="s">
        <v>84</v>
      </c>
      <c r="BX64" s="37" t="s">
        <v>85</v>
      </c>
      <c r="BY64" s="18">
        <f t="shared" si="24"/>
        <v>26223.060926780094</v>
      </c>
      <c r="BZ64" s="18">
        <f t="shared" si="25"/>
        <v>0.10359121645432949</v>
      </c>
      <c r="CA64" s="15">
        <f t="shared" si="26"/>
        <v>18774.078080131712</v>
      </c>
      <c r="CB64" s="15">
        <f t="shared" si="27"/>
        <v>5669.771567224715</v>
      </c>
      <c r="CC64" s="15">
        <f t="shared" si="28"/>
        <v>1779.211279423668</v>
      </c>
      <c r="CD64" s="15">
        <f t="shared" si="29"/>
        <v>1903.2289441628182</v>
      </c>
      <c r="CE64" s="27">
        <v>56</v>
      </c>
      <c r="CF64" s="43" t="s">
        <v>84</v>
      </c>
      <c r="CG64" s="37" t="s">
        <v>85</v>
      </c>
      <c r="CH64" s="15">
        <f t="shared" si="30"/>
        <v>8975.43056386636</v>
      </c>
      <c r="CI64" s="15">
        <f t="shared" si="31"/>
        <v>1726.5431375527596</v>
      </c>
      <c r="CJ64" s="15">
        <f t="shared" si="32"/>
        <v>3361.5027978833355</v>
      </c>
      <c r="CK64" s="62">
        <f t="shared" si="33"/>
        <v>138.87501260422837</v>
      </c>
      <c r="CL64" s="67">
        <f t="shared" si="34"/>
        <v>30815.939999999995</v>
      </c>
      <c r="CM64" s="67">
        <f t="shared" si="35"/>
        <v>26115.203389830505</v>
      </c>
      <c r="CN64" s="74"/>
    </row>
    <row r="65" spans="1:92" ht="11.25" customHeight="1">
      <c r="A65" s="27">
        <v>57</v>
      </c>
      <c r="B65" s="27" t="s">
        <v>84</v>
      </c>
      <c r="C65" s="29">
        <v>24</v>
      </c>
      <c r="D65" s="31">
        <v>1967</v>
      </c>
      <c r="E65" s="32">
        <v>4</v>
      </c>
      <c r="F65" s="32">
        <v>5</v>
      </c>
      <c r="G65" s="32"/>
      <c r="H65" s="32">
        <v>64</v>
      </c>
      <c r="I65" s="32"/>
      <c r="J65" s="33">
        <v>327.4</v>
      </c>
      <c r="K65" s="34">
        <f>51+286+820</f>
        <v>1157</v>
      </c>
      <c r="L65" s="35">
        <v>0</v>
      </c>
      <c r="M65" s="35">
        <v>382</v>
      </c>
      <c r="N65" s="35">
        <v>778</v>
      </c>
      <c r="O65" s="32"/>
      <c r="P65" s="27">
        <v>57</v>
      </c>
      <c r="Q65" s="43" t="s">
        <v>84</v>
      </c>
      <c r="R65" s="37">
        <v>24</v>
      </c>
      <c r="S65" s="79">
        <v>2948.1</v>
      </c>
      <c r="T65" s="79">
        <v>2948.1</v>
      </c>
      <c r="U65" s="23">
        <v>20.35</v>
      </c>
      <c r="V65" s="23">
        <v>21.98</v>
      </c>
      <c r="W65" s="23">
        <f t="shared" si="36"/>
        <v>748758.438</v>
      </c>
      <c r="X65" s="23">
        <f t="shared" si="1"/>
        <v>737130.062503168</v>
      </c>
      <c r="Y65" s="23">
        <f t="shared" si="2"/>
        <v>11628.375496831955</v>
      </c>
      <c r="Z65" s="27">
        <v>57</v>
      </c>
      <c r="AA65" s="43" t="s">
        <v>84</v>
      </c>
      <c r="AB65" s="37">
        <v>24</v>
      </c>
      <c r="AC65" s="24">
        <f t="shared" si="3"/>
        <v>624686.4936467526</v>
      </c>
      <c r="AD65" s="15">
        <f t="shared" si="4"/>
        <v>97194.24087957754</v>
      </c>
      <c r="AE65" s="30">
        <f>0.99*1.078*0.997054</f>
        <v>1.06407596988</v>
      </c>
      <c r="AF65" s="15">
        <f t="shared" si="5"/>
        <v>72224.17771196894</v>
      </c>
      <c r="AG65" s="15">
        <f t="shared" si="6"/>
        <v>21811.70167681281</v>
      </c>
      <c r="AH65" s="30">
        <f t="shared" si="0"/>
        <v>94035.87938878174</v>
      </c>
      <c r="AI65" s="15">
        <f t="shared" si="7"/>
        <v>3158.3614907957945</v>
      </c>
      <c r="AJ65" s="27">
        <v>57</v>
      </c>
      <c r="AK65" s="43" t="s">
        <v>84</v>
      </c>
      <c r="AL65" s="37">
        <v>24</v>
      </c>
      <c r="AM65" s="15">
        <f t="shared" si="8"/>
        <v>272461.44877756597</v>
      </c>
      <c r="AN65" s="30">
        <f>(1.034+0.02)*1.003*0.9976247</f>
        <v>1.0546509231014</v>
      </c>
      <c r="AO65" s="15">
        <f t="shared" si="9"/>
        <v>148342.30526315974</v>
      </c>
      <c r="AP65" s="15">
        <f t="shared" si="10"/>
        <v>44799.376200188155</v>
      </c>
      <c r="AQ65" s="25">
        <f t="shared" si="11"/>
        <v>41171.40961598655</v>
      </c>
      <c r="AR65" s="26">
        <f t="shared" si="12"/>
        <v>1966.7392498137756</v>
      </c>
      <c r="AS65" s="27">
        <v>57</v>
      </c>
      <c r="AT65" s="43" t="s">
        <v>84</v>
      </c>
      <c r="AU65" s="37">
        <v>24</v>
      </c>
      <c r="AV65" s="26">
        <f t="shared" si="13"/>
        <v>2413.0547285747284</v>
      </c>
      <c r="AW65" s="15">
        <f t="shared" si="14"/>
        <v>2413.0547285747284</v>
      </c>
      <c r="AX65" s="26"/>
      <c r="AY65" s="30"/>
      <c r="AZ65" s="23">
        <f t="shared" si="15"/>
        <v>0.15774000311402878</v>
      </c>
      <c r="BA65" s="23">
        <f t="shared" si="16"/>
        <v>22111.12922130749</v>
      </c>
      <c r="BB65" s="23">
        <f t="shared" si="17"/>
        <v>6677.561090225263</v>
      </c>
      <c r="BC65" s="61">
        <f t="shared" si="18"/>
        <v>4979.873408310313</v>
      </c>
      <c r="BD65" s="27">
        <v>57</v>
      </c>
      <c r="BE65" s="43" t="s">
        <v>84</v>
      </c>
      <c r="BF65" s="37">
        <v>24</v>
      </c>
      <c r="BG65" s="15">
        <f t="shared" si="19"/>
        <v>22994.605289759773</v>
      </c>
      <c r="BH65" s="26">
        <f t="shared" si="20"/>
        <v>2626.6511120541077</v>
      </c>
      <c r="BI65" s="30"/>
      <c r="BJ65" s="30"/>
      <c r="BK65" s="30"/>
      <c r="BL65" s="30"/>
      <c r="BM65" s="27">
        <v>57</v>
      </c>
      <c r="BN65" s="43" t="s">
        <v>84</v>
      </c>
      <c r="BO65" s="37">
        <v>24</v>
      </c>
      <c r="BP65" s="15">
        <f t="shared" si="21"/>
        <v>356.02509586509586</v>
      </c>
      <c r="BQ65" s="30">
        <f>19.07*H65*4</f>
        <v>4881.92</v>
      </c>
      <c r="BR65" s="30"/>
      <c r="BS65" s="15">
        <f t="shared" si="22"/>
        <v>2514.007111630343</v>
      </c>
      <c r="BT65" s="30">
        <f>14616*100/118*0.8</f>
        <v>9909.152542372882</v>
      </c>
      <c r="BU65" s="15">
        <f t="shared" si="23"/>
        <v>2706.849427837345</v>
      </c>
      <c r="BV65" s="27">
        <v>57</v>
      </c>
      <c r="BW65" s="43" t="s">
        <v>84</v>
      </c>
      <c r="BX65" s="37">
        <v>24</v>
      </c>
      <c r="BY65" s="18">
        <f t="shared" si="24"/>
        <v>143748.98831952477</v>
      </c>
      <c r="BZ65" s="18">
        <f t="shared" si="25"/>
        <v>0.5678640112105036</v>
      </c>
      <c r="CA65" s="15">
        <f t="shared" si="26"/>
        <v>102915.32091490575</v>
      </c>
      <c r="CB65" s="15">
        <f t="shared" si="27"/>
        <v>31080.426845175134</v>
      </c>
      <c r="CC65" s="15">
        <f t="shared" si="28"/>
        <v>9753.240559443877</v>
      </c>
      <c r="CD65" s="15">
        <f t="shared" si="29"/>
        <v>10433.077817564903</v>
      </c>
      <c r="CE65" s="27">
        <v>57</v>
      </c>
      <c r="CF65" s="43" t="s">
        <v>84</v>
      </c>
      <c r="CG65" s="37">
        <v>24</v>
      </c>
      <c r="CH65" s="15">
        <f t="shared" si="30"/>
        <v>49201.31432750914</v>
      </c>
      <c r="CI65" s="15">
        <f t="shared" si="31"/>
        <v>9464.5255184442</v>
      </c>
      <c r="CJ65" s="15">
        <f t="shared" si="32"/>
        <v>18427.010781777357</v>
      </c>
      <c r="CK65" s="62">
        <f t="shared" si="33"/>
        <v>761.2819350288689</v>
      </c>
      <c r="CL65" s="67">
        <f t="shared" si="34"/>
        <v>168926.13</v>
      </c>
      <c r="CM65" s="67">
        <f t="shared" si="35"/>
        <v>143157.7372881356</v>
      </c>
      <c r="CN65" s="74"/>
    </row>
    <row r="66" spans="1:92" ht="11.25" customHeight="1">
      <c r="A66" s="27">
        <v>58</v>
      </c>
      <c r="B66" s="27" t="s">
        <v>84</v>
      </c>
      <c r="C66" s="29">
        <v>28</v>
      </c>
      <c r="D66" s="31">
        <v>1960</v>
      </c>
      <c r="E66" s="32">
        <v>2</v>
      </c>
      <c r="F66" s="32">
        <v>2</v>
      </c>
      <c r="G66" s="32"/>
      <c r="H66" s="32">
        <v>16</v>
      </c>
      <c r="I66" s="32"/>
      <c r="J66" s="33">
        <v>70.9</v>
      </c>
      <c r="K66" s="34">
        <f>252+139+92</f>
        <v>483</v>
      </c>
      <c r="L66" s="35">
        <v>0</v>
      </c>
      <c r="M66" s="35">
        <v>0</v>
      </c>
      <c r="N66" s="35">
        <v>734</v>
      </c>
      <c r="O66" s="32"/>
      <c r="P66" s="27">
        <v>58</v>
      </c>
      <c r="Q66" s="43" t="s">
        <v>84</v>
      </c>
      <c r="R66" s="37">
        <v>28</v>
      </c>
      <c r="S66" s="79">
        <v>633</v>
      </c>
      <c r="T66" s="79">
        <v>633</v>
      </c>
      <c r="U66" s="23">
        <v>20.35</v>
      </c>
      <c r="V66" s="23">
        <v>21.2</v>
      </c>
      <c r="W66" s="23">
        <f t="shared" si="36"/>
        <v>157806.90000000002</v>
      </c>
      <c r="X66" s="23">
        <f>AC66*1.18</f>
        <v>176969.98412106733</v>
      </c>
      <c r="Y66" s="23">
        <f t="shared" si="2"/>
        <v>-19163.08412106731</v>
      </c>
      <c r="Z66" s="27">
        <v>58</v>
      </c>
      <c r="AA66" s="43" t="s">
        <v>84</v>
      </c>
      <c r="AB66" s="37">
        <v>28</v>
      </c>
      <c r="AC66" s="24">
        <f t="shared" si="3"/>
        <v>149974.56281446386</v>
      </c>
      <c r="AD66" s="15">
        <f t="shared" si="4"/>
        <v>30494.835975110964</v>
      </c>
      <c r="AE66" s="30">
        <f>(0.31*1.078)-0.0003246</f>
        <v>0.3338554</v>
      </c>
      <c r="AF66" s="15">
        <f t="shared" si="5"/>
        <v>22660.44194421544</v>
      </c>
      <c r="AG66" s="15">
        <f t="shared" si="6"/>
        <v>6843.453469599756</v>
      </c>
      <c r="AH66" s="30">
        <f t="shared" si="0"/>
        <v>29503.895413815197</v>
      </c>
      <c r="AI66" s="15">
        <f t="shared" si="7"/>
        <v>990.9405612957684</v>
      </c>
      <c r="AJ66" s="27">
        <v>58</v>
      </c>
      <c r="AK66" s="43" t="s">
        <v>84</v>
      </c>
      <c r="AL66" s="37">
        <v>28</v>
      </c>
      <c r="AM66" s="15">
        <f t="shared" si="8"/>
        <v>66663.71564410924</v>
      </c>
      <c r="AN66" s="30">
        <f>(0.252+0.018)*1.003*0.9976253</f>
        <v>0.270166907493</v>
      </c>
      <c r="AO66" s="15">
        <f t="shared" si="9"/>
        <v>38000.423633514605</v>
      </c>
      <c r="AP66" s="15">
        <f t="shared" si="10"/>
        <v>11476.127940065964</v>
      </c>
      <c r="AQ66" s="25">
        <f t="shared" si="11"/>
        <v>8840.101179376374</v>
      </c>
      <c r="AR66" s="26">
        <f t="shared" si="12"/>
        <v>493.2068431931156</v>
      </c>
      <c r="AS66" s="27">
        <v>58</v>
      </c>
      <c r="AT66" s="43" t="s">
        <v>84</v>
      </c>
      <c r="AU66" s="37">
        <v>28</v>
      </c>
      <c r="AV66" s="26">
        <f>AW66+AX66+AY66-0.01</f>
        <v>603.2536821436821</v>
      </c>
      <c r="AW66" s="15">
        <f t="shared" si="14"/>
        <v>603.2636821436821</v>
      </c>
      <c r="AX66" s="26"/>
      <c r="AY66" s="30"/>
      <c r="AZ66" s="23">
        <f t="shared" si="15"/>
        <v>0.03386907566608331</v>
      </c>
      <c r="BA66" s="23">
        <f t="shared" si="16"/>
        <v>4747.581424336908</v>
      </c>
      <c r="BB66" s="23">
        <f t="shared" si="17"/>
        <v>1433.7696041900174</v>
      </c>
      <c r="BC66" s="61">
        <f t="shared" si="18"/>
        <v>1069.2513372885683</v>
      </c>
      <c r="BD66" s="27">
        <v>58</v>
      </c>
      <c r="BE66" s="43" t="s">
        <v>84</v>
      </c>
      <c r="BF66" s="37">
        <v>28</v>
      </c>
      <c r="BG66" s="15">
        <f t="shared" si="19"/>
        <v>2994.460441536335</v>
      </c>
      <c r="BH66" s="26">
        <f t="shared" si="20"/>
        <v>563.9802428446288</v>
      </c>
      <c r="BI66" s="30"/>
      <c r="BJ66" s="30"/>
      <c r="BK66" s="30"/>
      <c r="BL66" s="30"/>
      <c r="BM66" s="27">
        <v>58</v>
      </c>
      <c r="BN66" s="43" t="s">
        <v>84</v>
      </c>
      <c r="BO66" s="37">
        <v>28</v>
      </c>
      <c r="BP66" s="15">
        <f t="shared" si="21"/>
        <v>89.00627396627397</v>
      </c>
      <c r="BQ66" s="30">
        <f>19.07*H66*4</f>
        <v>1220.48</v>
      </c>
      <c r="BR66" s="30"/>
      <c r="BS66" s="15">
        <f t="shared" si="22"/>
        <v>539.7939356405844</v>
      </c>
      <c r="BT66" s="30"/>
      <c r="BU66" s="15">
        <f t="shared" si="23"/>
        <v>581.1999890848477</v>
      </c>
      <c r="BV66" s="27">
        <v>58</v>
      </c>
      <c r="BW66" s="43" t="s">
        <v>84</v>
      </c>
      <c r="BX66" s="37">
        <v>28</v>
      </c>
      <c r="BY66" s="18">
        <f t="shared" si="24"/>
        <v>30865.00105364783</v>
      </c>
      <c r="BZ66" s="18">
        <f t="shared" si="25"/>
        <v>0.12192867239789991</v>
      </c>
      <c r="CA66" s="15">
        <f t="shared" si="26"/>
        <v>22097.418045227547</v>
      </c>
      <c r="CB66" s="15">
        <f t="shared" si="27"/>
        <v>6673.420234386845</v>
      </c>
      <c r="CC66" s="15">
        <f t="shared" si="28"/>
        <v>2094.162774033436</v>
      </c>
      <c r="CD66" s="15">
        <f t="shared" si="29"/>
        <v>2240.1337330886277</v>
      </c>
      <c r="CE66" s="27">
        <v>58</v>
      </c>
      <c r="CF66" s="43" t="s">
        <v>84</v>
      </c>
      <c r="CG66" s="37">
        <v>28</v>
      </c>
      <c r="CH66" s="15">
        <f t="shared" si="30"/>
        <v>10564.238651780228</v>
      </c>
      <c r="CI66" s="15">
        <f t="shared" si="31"/>
        <v>2032.1714504851188</v>
      </c>
      <c r="CJ66" s="15">
        <f t="shared" si="32"/>
        <v>3956.5475475272438</v>
      </c>
      <c r="CK66" s="62">
        <f t="shared" si="33"/>
        <v>163.4583171782755</v>
      </c>
      <c r="CL66" s="67">
        <f t="shared" si="34"/>
        <v>36270.9</v>
      </c>
      <c r="CM66" s="67">
        <f t="shared" si="35"/>
        <v>30738.050847457627</v>
      </c>
      <c r="CN66" s="74"/>
    </row>
    <row r="67" spans="1:92" ht="11.25" customHeight="1">
      <c r="A67" s="27">
        <v>59</v>
      </c>
      <c r="B67" s="27" t="s">
        <v>79</v>
      </c>
      <c r="C67" s="29">
        <v>3</v>
      </c>
      <c r="D67" s="31">
        <v>2003</v>
      </c>
      <c r="E67" s="32">
        <v>2</v>
      </c>
      <c r="F67" s="32">
        <v>14</v>
      </c>
      <c r="G67" s="32">
        <v>4</v>
      </c>
      <c r="H67" s="32">
        <v>140</v>
      </c>
      <c r="I67" s="32">
        <v>140</v>
      </c>
      <c r="J67" s="33">
        <v>1052.8</v>
      </c>
      <c r="K67" s="34">
        <v>1389.8</v>
      </c>
      <c r="L67" s="35">
        <v>0</v>
      </c>
      <c r="M67" s="35">
        <v>0</v>
      </c>
      <c r="N67" s="35">
        <v>1540</v>
      </c>
      <c r="O67" s="32"/>
      <c r="P67" s="27">
        <v>59</v>
      </c>
      <c r="Q67" s="27" t="s">
        <v>79</v>
      </c>
      <c r="R67" s="29">
        <v>3</v>
      </c>
      <c r="S67" s="79">
        <v>8239.9</v>
      </c>
      <c r="T67" s="79">
        <v>8239.9</v>
      </c>
      <c r="U67" s="23">
        <v>26.31</v>
      </c>
      <c r="V67" s="23">
        <v>28.37</v>
      </c>
      <c r="W67" s="23">
        <f>(S67*U67*3)+(T67*V67*6)-0.02</f>
        <v>2052971.065</v>
      </c>
      <c r="X67" s="23">
        <f>AC67*1.18</f>
        <v>1331954.4174</v>
      </c>
      <c r="Y67" s="23">
        <f t="shared" si="2"/>
        <v>721016.6476</v>
      </c>
      <c r="Z67" s="27">
        <v>59</v>
      </c>
      <c r="AA67" s="27" t="s">
        <v>79</v>
      </c>
      <c r="AB67" s="29">
        <v>3</v>
      </c>
      <c r="AC67" s="24">
        <f t="shared" si="3"/>
        <v>1128774.93</v>
      </c>
      <c r="AD67" s="15">
        <f>AH67+AI67</f>
        <v>100936.06000000001</v>
      </c>
      <c r="AE67" s="30">
        <v>1.42</v>
      </c>
      <c r="AF67" s="15">
        <v>71828.07</v>
      </c>
      <c r="AG67" s="15">
        <v>21692.08</v>
      </c>
      <c r="AH67" s="30">
        <f>AF67+AG67</f>
        <v>93520.15000000001</v>
      </c>
      <c r="AI67" s="15">
        <v>7415.91</v>
      </c>
      <c r="AJ67" s="27">
        <v>59</v>
      </c>
      <c r="AK67" s="27" t="s">
        <v>79</v>
      </c>
      <c r="AL67" s="29">
        <v>3</v>
      </c>
      <c r="AM67" s="15">
        <f>AO67+AP67+AQ67+AR67+AV67+BA67+BB67+BC67-0.02</f>
        <v>491969.58999999997</v>
      </c>
      <c r="AN67" s="30">
        <v>2.25</v>
      </c>
      <c r="AO67" s="15">
        <v>238525.16</v>
      </c>
      <c r="AP67" s="15">
        <v>72034.6</v>
      </c>
      <c r="AQ67" s="25">
        <v>86269.92</v>
      </c>
      <c r="AR67" s="26">
        <v>3708</v>
      </c>
      <c r="AS67" s="27">
        <v>59</v>
      </c>
      <c r="AT67" s="27" t="s">
        <v>79</v>
      </c>
      <c r="AU67" s="29">
        <v>3</v>
      </c>
      <c r="AV67" s="26">
        <v>0</v>
      </c>
      <c r="AW67" s="15">
        <v>0</v>
      </c>
      <c r="AX67" s="26">
        <v>0</v>
      </c>
      <c r="AY67" s="30">
        <v>0</v>
      </c>
      <c r="AZ67" s="23">
        <v>0.6</v>
      </c>
      <c r="BA67" s="23">
        <v>63389.26</v>
      </c>
      <c r="BB67" s="23">
        <v>19143.56</v>
      </c>
      <c r="BC67" s="61">
        <v>8899.11</v>
      </c>
      <c r="BD67" s="27">
        <v>59</v>
      </c>
      <c r="BE67" s="27" t="s">
        <v>79</v>
      </c>
      <c r="BF67" s="29">
        <v>3</v>
      </c>
      <c r="BG67" s="15">
        <f>BH67+BI67+BJ67+BK67+BL67+BP67+BQ67+BR67+BS67+BT67+BU67-0.01</f>
        <v>372734.39</v>
      </c>
      <c r="BH67" s="26">
        <v>4907.79</v>
      </c>
      <c r="BI67" s="30">
        <v>2270.25</v>
      </c>
      <c r="BJ67" s="30">
        <v>23694.66</v>
      </c>
      <c r="BK67" s="30">
        <v>5062.5</v>
      </c>
      <c r="BL67" s="30">
        <v>334080</v>
      </c>
      <c r="BM67" s="27">
        <v>59</v>
      </c>
      <c r="BN67" s="27" t="s">
        <v>79</v>
      </c>
      <c r="BO67" s="29">
        <v>3</v>
      </c>
      <c r="BP67" s="15">
        <v>0</v>
      </c>
      <c r="BQ67" s="30">
        <v>0</v>
      </c>
      <c r="BR67" s="30">
        <v>0</v>
      </c>
      <c r="BS67" s="15">
        <v>0</v>
      </c>
      <c r="BT67" s="30">
        <v>0</v>
      </c>
      <c r="BU67" s="15">
        <v>2719.2</v>
      </c>
      <c r="BV67" s="27">
        <v>59</v>
      </c>
      <c r="BW67" s="27" t="s">
        <v>79</v>
      </c>
      <c r="BX67" s="29">
        <v>3</v>
      </c>
      <c r="BY67" s="18">
        <f t="shared" si="24"/>
        <v>25395.789999999997</v>
      </c>
      <c r="BZ67" s="18">
        <v>0.15</v>
      </c>
      <c r="CA67" s="15">
        <v>19325.03</v>
      </c>
      <c r="CB67" s="15">
        <v>5836.16</v>
      </c>
      <c r="CC67" s="15">
        <v>234.6</v>
      </c>
      <c r="CD67" s="15">
        <v>32629.98</v>
      </c>
      <c r="CE67" s="27">
        <v>59</v>
      </c>
      <c r="CF67" s="27" t="s">
        <v>79</v>
      </c>
      <c r="CG67" s="29">
        <v>3</v>
      </c>
      <c r="CH67" s="15">
        <v>103081.15</v>
      </c>
      <c r="CI67" s="15">
        <v>2027.97</v>
      </c>
      <c r="CJ67" s="15">
        <v>0</v>
      </c>
      <c r="CK67" s="62">
        <v>0</v>
      </c>
      <c r="CL67" s="69">
        <f>(4.66*S67*3)+(4.89*T67*6)</f>
        <v>356952.468</v>
      </c>
      <c r="CM67" s="69">
        <f>CL67*100/118</f>
        <v>302502.0915254237</v>
      </c>
      <c r="CN67" s="74"/>
    </row>
    <row r="68" spans="1:92" ht="11.25" customHeight="1">
      <c r="A68" s="27">
        <v>60</v>
      </c>
      <c r="B68" s="27" t="s">
        <v>66</v>
      </c>
      <c r="C68" s="29" t="s">
        <v>107</v>
      </c>
      <c r="D68" s="31">
        <v>2003</v>
      </c>
      <c r="E68" s="32">
        <v>1</v>
      </c>
      <c r="F68" s="32">
        <v>14</v>
      </c>
      <c r="G68" s="32">
        <v>2</v>
      </c>
      <c r="H68" s="32">
        <v>84</v>
      </c>
      <c r="I68" s="32">
        <v>84</v>
      </c>
      <c r="J68" s="33">
        <v>526.5</v>
      </c>
      <c r="K68" s="34">
        <v>1768</v>
      </c>
      <c r="L68" s="35">
        <v>0</v>
      </c>
      <c r="M68" s="35">
        <v>0</v>
      </c>
      <c r="N68" s="35">
        <v>2380</v>
      </c>
      <c r="O68" s="32">
        <v>1</v>
      </c>
      <c r="P68" s="27">
        <v>60</v>
      </c>
      <c r="Q68" s="27" t="s">
        <v>66</v>
      </c>
      <c r="R68" s="29" t="s">
        <v>107</v>
      </c>
      <c r="S68" s="79">
        <v>5006.4</v>
      </c>
      <c r="T68" s="79">
        <v>5006.4</v>
      </c>
      <c r="U68" s="23">
        <v>27.64</v>
      </c>
      <c r="V68" s="23">
        <v>29.19</v>
      </c>
      <c r="W68" s="23">
        <f>(S68*U68*2)+(T68*V68*6)+0.03</f>
        <v>1153574.7179999999</v>
      </c>
      <c r="X68" s="23">
        <f>AC68*1.18</f>
        <v>722783.5002</v>
      </c>
      <c r="Y68" s="23">
        <f t="shared" si="2"/>
        <v>430791.21779999987</v>
      </c>
      <c r="Z68" s="27">
        <v>60</v>
      </c>
      <c r="AA68" s="27" t="s">
        <v>66</v>
      </c>
      <c r="AB68" s="29" t="s">
        <v>107</v>
      </c>
      <c r="AC68" s="24">
        <f>AD68+AM68+BG68+BY68+CH68+CI68+CJ68+CK68+CD68-0.01</f>
        <v>612528.39</v>
      </c>
      <c r="AD68" s="15">
        <f>AH68+AI68</f>
        <v>100835.45</v>
      </c>
      <c r="AE68" s="30">
        <v>1.65</v>
      </c>
      <c r="AF68" s="15">
        <v>74370.45</v>
      </c>
      <c r="AG68" s="15">
        <v>22459.88</v>
      </c>
      <c r="AH68" s="30">
        <f>AF68+AG68</f>
        <v>96830.33</v>
      </c>
      <c r="AI68" s="15">
        <v>4005.12</v>
      </c>
      <c r="AJ68" s="27">
        <v>60</v>
      </c>
      <c r="AK68" s="27" t="s">
        <v>66</v>
      </c>
      <c r="AL68" s="29" t="s">
        <v>107</v>
      </c>
      <c r="AM68" s="15">
        <f>AO68+AP68+AQ68+AR68+AV68+BA68+BB68+BC68</f>
        <v>259196.79</v>
      </c>
      <c r="AN68" s="30">
        <v>1.39</v>
      </c>
      <c r="AO68" s="15">
        <v>131303.74</v>
      </c>
      <c r="AP68" s="15">
        <v>39653.73</v>
      </c>
      <c r="AQ68" s="25">
        <v>44659.44</v>
      </c>
      <c r="AR68" s="26">
        <v>2002.56</v>
      </c>
      <c r="AS68" s="27">
        <v>60</v>
      </c>
      <c r="AT68" s="27" t="s">
        <v>66</v>
      </c>
      <c r="AU68" s="29" t="s">
        <v>107</v>
      </c>
      <c r="AV68" s="26">
        <v>0</v>
      </c>
      <c r="AW68" s="15">
        <v>0</v>
      </c>
      <c r="AX68" s="26">
        <v>0</v>
      </c>
      <c r="AY68" s="30">
        <v>0</v>
      </c>
      <c r="AZ68" s="23">
        <v>0.3</v>
      </c>
      <c r="BA68" s="23">
        <v>28242.06</v>
      </c>
      <c r="BB68" s="23">
        <v>8529.1</v>
      </c>
      <c r="BC68" s="61">
        <v>4806.16</v>
      </c>
      <c r="BD68" s="27">
        <v>60</v>
      </c>
      <c r="BE68" s="27" t="s">
        <v>66</v>
      </c>
      <c r="BF68" s="29" t="s">
        <v>107</v>
      </c>
      <c r="BG68" s="15">
        <f>BH68+BI68+BJ68+BK68+BL68+BP68+BQ68+BR68+BS68+BT68+BU68</f>
        <v>166532.14</v>
      </c>
      <c r="BH68" s="26">
        <v>2660.72</v>
      </c>
      <c r="BI68" s="30">
        <v>1008.96</v>
      </c>
      <c r="BJ68" s="30">
        <v>10530.88</v>
      </c>
      <c r="BK68" s="30">
        <v>2249.6</v>
      </c>
      <c r="BL68" s="30">
        <v>148480</v>
      </c>
      <c r="BM68" s="27">
        <v>60</v>
      </c>
      <c r="BN68" s="27" t="s">
        <v>66</v>
      </c>
      <c r="BO68" s="29" t="s">
        <v>107</v>
      </c>
      <c r="BP68" s="15">
        <v>0</v>
      </c>
      <c r="BQ68" s="30">
        <v>0</v>
      </c>
      <c r="BR68" s="30">
        <v>0</v>
      </c>
      <c r="BS68" s="15">
        <v>0</v>
      </c>
      <c r="BT68" s="30">
        <v>0</v>
      </c>
      <c r="BU68" s="15">
        <v>1601.98</v>
      </c>
      <c r="BV68" s="27">
        <v>60</v>
      </c>
      <c r="BW68" s="27" t="s">
        <v>66</v>
      </c>
      <c r="BX68" s="29" t="s">
        <v>107</v>
      </c>
      <c r="BY68" s="18">
        <f t="shared" si="24"/>
        <v>9051.85</v>
      </c>
      <c r="BZ68" s="18">
        <v>0.06</v>
      </c>
      <c r="CA68" s="15">
        <v>6887.96</v>
      </c>
      <c r="CB68" s="15">
        <v>2080.17</v>
      </c>
      <c r="CC68" s="15">
        <v>83.72</v>
      </c>
      <c r="CD68" s="15">
        <v>19825.32</v>
      </c>
      <c r="CE68" s="27">
        <v>60</v>
      </c>
      <c r="CF68" s="27" t="s">
        <v>66</v>
      </c>
      <c r="CG68" s="29" t="s">
        <v>107</v>
      </c>
      <c r="CH68" s="15">
        <v>55671.17</v>
      </c>
      <c r="CI68" s="15">
        <v>1415.68</v>
      </c>
      <c r="CJ68" s="15">
        <v>0</v>
      </c>
      <c r="CK68" s="62">
        <v>0</v>
      </c>
      <c r="CL68" s="69">
        <f>(4.66*S68*3)+(4.89*T68*6)</f>
        <v>216877.24799999996</v>
      </c>
      <c r="CM68" s="69">
        <f>CL68*100/118</f>
        <v>183794.27796610168</v>
      </c>
      <c r="CN68" s="74"/>
    </row>
    <row r="69" spans="1:92" ht="11.25" customHeight="1" thickBot="1">
      <c r="A69" s="46"/>
      <c r="B69" s="46" t="s">
        <v>86</v>
      </c>
      <c r="C69" s="47"/>
      <c r="D69" s="49"/>
      <c r="E69" s="50"/>
      <c r="F69" s="50"/>
      <c r="G69" s="51">
        <f>G6+G12+G26+G39+G43+G44+G45+G46+G49+G53+G57+G37+G67+G68</f>
        <v>43</v>
      </c>
      <c r="H69" s="51">
        <f>SUM(H6:H66)+H67+H68</f>
        <v>4553</v>
      </c>
      <c r="I69" s="58">
        <f>I39+I43+I44+I45+I46+I67+I68</f>
        <v>794</v>
      </c>
      <c r="J69" s="55">
        <f aca="true" t="shared" si="38" ref="J69:O69">SUM(J6:J66)+J67+J68</f>
        <v>25138.21999999999</v>
      </c>
      <c r="K69" s="52">
        <f t="shared" si="38"/>
        <v>58424.9</v>
      </c>
      <c r="L69" s="59">
        <f t="shared" si="38"/>
        <v>8043.900000000001</v>
      </c>
      <c r="M69" s="59">
        <f t="shared" si="38"/>
        <v>28606.6</v>
      </c>
      <c r="N69" s="59">
        <f t="shared" si="38"/>
        <v>152931.4</v>
      </c>
      <c r="O69" s="53">
        <f t="shared" si="38"/>
        <v>7</v>
      </c>
      <c r="P69" s="46"/>
      <c r="Q69" s="46" t="s">
        <v>86</v>
      </c>
      <c r="R69" s="47"/>
      <c r="S69" s="48">
        <f>SUM(S6:S66)+S67+S68</f>
        <v>219073.87000000005</v>
      </c>
      <c r="T69" s="48">
        <f>SUM(T6:T66)+T67+T68</f>
        <v>218832.07000000004</v>
      </c>
      <c r="U69" s="52"/>
      <c r="V69" s="52"/>
      <c r="W69" s="48">
        <f>SUM(W6:W68)</f>
        <v>61059204.683600016</v>
      </c>
      <c r="X69" s="48">
        <f>SUM(X6:X68)</f>
        <v>57559682.249424726</v>
      </c>
      <c r="Y69" s="48">
        <f>SUM(Y6:Y68)</f>
        <v>3499522.4341752874</v>
      </c>
      <c r="Z69" s="46"/>
      <c r="AA69" s="46" t="s">
        <v>86</v>
      </c>
      <c r="AB69" s="47"/>
      <c r="AC69" s="54">
        <f aca="true" t="shared" si="39" ref="AC69:AI69">SUM(AC6:AC66)+AC67+AC68</f>
        <v>48779391.73680062</v>
      </c>
      <c r="AD69" s="48">
        <f t="shared" si="39"/>
        <v>7929258.087443164</v>
      </c>
      <c r="AE69" s="48">
        <f t="shared" si="39"/>
        <v>87.66999996106004</v>
      </c>
      <c r="AF69" s="48">
        <f t="shared" si="39"/>
        <v>5888425.2073569475</v>
      </c>
      <c r="AG69" s="48">
        <f t="shared" si="39"/>
        <v>1778304.4202017977</v>
      </c>
      <c r="AH69" s="48">
        <f t="shared" si="39"/>
        <v>7666729.627558746</v>
      </c>
      <c r="AI69" s="48">
        <f t="shared" si="39"/>
        <v>262528.45988441934</v>
      </c>
      <c r="AJ69" s="46"/>
      <c r="AK69" s="46" t="s">
        <v>86</v>
      </c>
      <c r="AL69" s="47"/>
      <c r="AM69" s="55">
        <f aca="true" t="shared" si="40" ref="AM69:AR69">SUM(AM6:AM66)+AM67+AM68</f>
        <v>18544445.003983647</v>
      </c>
      <c r="AN69" s="55">
        <f t="shared" si="40"/>
        <v>66.63999996743613</v>
      </c>
      <c r="AO69" s="55">
        <f t="shared" si="40"/>
        <v>9231116.575419715</v>
      </c>
      <c r="AP69" s="48">
        <f t="shared" si="40"/>
        <v>2787797.208616754</v>
      </c>
      <c r="AQ69" s="55">
        <f t="shared" si="40"/>
        <v>3002017.8399999994</v>
      </c>
      <c r="AR69" s="55">
        <f t="shared" si="40"/>
        <v>125753.27994717486</v>
      </c>
      <c r="AS69" s="46"/>
      <c r="AT69" s="46" t="s">
        <v>86</v>
      </c>
      <c r="AU69" s="47"/>
      <c r="AV69" s="48">
        <f>SUM(AV6:AV67)+AV68</f>
        <v>909899.8899999999</v>
      </c>
      <c r="AW69" s="48">
        <f>SUM(AW6:AW67)+AW68</f>
        <v>163220.52999999994</v>
      </c>
      <c r="AX69" s="48">
        <f>SUM(AX6:AX66)+AX67+AX68</f>
        <v>10500.37</v>
      </c>
      <c r="AY69" s="48">
        <f>SUM(AY6:AY66)+AY67+AY68</f>
        <v>736179</v>
      </c>
      <c r="AZ69" s="48">
        <f>SUM(AZ6:AZ67)+AZ68</f>
        <v>11.899999999999997</v>
      </c>
      <c r="BA69" s="48">
        <f>SUM(BA6:BA67)+BA68</f>
        <v>1633551.0399999998</v>
      </c>
      <c r="BB69" s="48">
        <f>SUM(BB6:BB67)+BB68</f>
        <v>493332.4199999999</v>
      </c>
      <c r="BC69" s="48">
        <f>SUM(BC6:BC67)+BC68</f>
        <v>360976.77</v>
      </c>
      <c r="BD69" s="46"/>
      <c r="BE69" s="46" t="s">
        <v>86</v>
      </c>
      <c r="BF69" s="47"/>
      <c r="BG69" s="56">
        <f>SUM(BG6:BG68)</f>
        <v>5875544.140373798</v>
      </c>
      <c r="BH69" s="48">
        <f>SUM(BH6:BH67)+BH68</f>
        <v>190738.03999999998</v>
      </c>
      <c r="BI69" s="48">
        <f>SUM(BI6:BI66)+BI67+BI68</f>
        <v>31279.19</v>
      </c>
      <c r="BJ69" s="48">
        <f>SUM(BJ6:BJ66)+BJ67+BJ68</f>
        <v>188857.41</v>
      </c>
      <c r="BK69" s="48">
        <f>SUM(BK6:BK66)+BK67+BK68</f>
        <v>48191.591729729735</v>
      </c>
      <c r="BL69" s="48">
        <f>SUM(BL6:BL66)+BL67+BL68</f>
        <v>4602880</v>
      </c>
      <c r="BM69" s="46"/>
      <c r="BN69" s="46" t="s">
        <v>86</v>
      </c>
      <c r="BO69" s="47"/>
      <c r="BP69" s="48">
        <f>SUM(BP6:BP67)+BP68</f>
        <v>24081.76000000001</v>
      </c>
      <c r="BQ69" s="48">
        <f>SUM(BQ6:BQ67)+BQ68</f>
        <v>75689.35</v>
      </c>
      <c r="BR69" s="48">
        <f>SUM(BR6:BR66)+BR67+BR68</f>
        <v>169204.39</v>
      </c>
      <c r="BS69" s="48">
        <f>SUM(BS6:BS67)+BS68</f>
        <v>175314.30000000002</v>
      </c>
      <c r="BT69" s="48">
        <f>SUM(BT6:BT66)+BT67+BT68</f>
        <v>176224.79864406778</v>
      </c>
      <c r="BU69" s="48">
        <f>SUM(BU6:BU67)+BU68</f>
        <v>193083.34000000008</v>
      </c>
      <c r="BV69" s="46"/>
      <c r="BW69" s="46" t="s">
        <v>86</v>
      </c>
      <c r="BX69" s="47"/>
      <c r="BY69" s="48">
        <f>SUM(BY6:BY68)</f>
        <v>10058784.135</v>
      </c>
      <c r="BZ69" s="48">
        <f>SUM(BZ6:BZ67)+BZ68</f>
        <v>39.81000000000002</v>
      </c>
      <c r="CA69" s="48">
        <f>SUM(CA6:CA67)+CA68</f>
        <v>7203013.469999999</v>
      </c>
      <c r="CB69" s="48">
        <f>SUM(CB6:CB67)+CB68</f>
        <v>2175310.07</v>
      </c>
      <c r="CC69" s="48">
        <f>SUM(CC6:CC67)+CC68</f>
        <v>680460.605</v>
      </c>
      <c r="CD69" s="48">
        <f>SUM(CD6:CD67)+CD68</f>
        <v>780006.0399999999</v>
      </c>
      <c r="CE69" s="46"/>
      <c r="CF69" s="46" t="s">
        <v>86</v>
      </c>
      <c r="CG69" s="47"/>
      <c r="CH69" s="48">
        <f>SUM(CH6:CH67)+CH68</f>
        <v>3589806.2499999995</v>
      </c>
      <c r="CI69" s="48">
        <f>SUM(CI6:CI67)+CI68</f>
        <v>663452.3900000002</v>
      </c>
      <c r="CJ69" s="48">
        <f>SUM(CJ6:CJ67)+CJ68</f>
        <v>1285007.7</v>
      </c>
      <c r="CK69" s="63">
        <f>SUM(CK6:CK67)+CK68</f>
        <v>53087.999999999985</v>
      </c>
      <c r="CL69" s="68">
        <f>SUM(CL6:CL68)</f>
        <v>12360655.065</v>
      </c>
      <c r="CM69" s="80">
        <f>SUM(CM6:CM68)</f>
        <v>10475131.411016952</v>
      </c>
      <c r="CN69" s="74"/>
    </row>
    <row r="70" spans="1:92" ht="11.25" customHeight="1">
      <c r="A70" s="74"/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  <c r="AK70" s="74"/>
      <c r="AL70" s="74"/>
      <c r="AM70" s="74"/>
      <c r="AN70" s="74"/>
      <c r="AO70" s="74"/>
      <c r="AP70" s="74"/>
      <c r="AQ70" s="74"/>
      <c r="AR70" s="74"/>
      <c r="AS70" s="74"/>
      <c r="AT70" s="74"/>
      <c r="AU70" s="74"/>
      <c r="AV70" s="74"/>
      <c r="AW70" s="74"/>
      <c r="AX70" s="74"/>
      <c r="AY70" s="74"/>
      <c r="AZ70" s="74"/>
      <c r="BA70" s="74"/>
      <c r="BB70" s="74"/>
      <c r="BC70" s="74"/>
      <c r="BD70" s="74"/>
      <c r="BE70" s="74"/>
      <c r="BF70" s="74"/>
      <c r="BG70" s="74"/>
      <c r="BH70" s="74"/>
      <c r="BI70" s="74"/>
      <c r="BJ70" s="74"/>
      <c r="BK70" s="74"/>
      <c r="BL70" s="74"/>
      <c r="BM70" s="74"/>
      <c r="BN70" s="74"/>
      <c r="BO70" s="74"/>
      <c r="BP70" s="74"/>
      <c r="BQ70" s="74"/>
      <c r="BR70" s="74"/>
      <c r="BS70" s="74"/>
      <c r="BT70" s="74"/>
      <c r="BU70" s="74"/>
      <c r="BV70" s="74"/>
      <c r="BW70" s="74"/>
      <c r="BX70" s="74"/>
      <c r="BY70" s="74"/>
      <c r="BZ70" s="74"/>
      <c r="CA70" s="74"/>
      <c r="CB70" s="74"/>
      <c r="CC70" s="74"/>
      <c r="CD70" s="74"/>
      <c r="CE70" s="74"/>
      <c r="CF70" s="74" t="s">
        <v>109</v>
      </c>
      <c r="CG70" s="74"/>
      <c r="CH70" s="74"/>
      <c r="CI70" s="74"/>
      <c r="CJ70" s="74"/>
      <c r="CK70" s="74"/>
      <c r="CL70" s="74" t="s">
        <v>110</v>
      </c>
      <c r="CM70" s="74"/>
      <c r="CN70" s="74"/>
    </row>
    <row r="72" ht="12.75">
      <c r="AC72" s="64"/>
    </row>
  </sheetData>
  <mergeCells count="13">
    <mergeCell ref="A1:O1"/>
    <mergeCell ref="A2:O2"/>
    <mergeCell ref="R2:X2"/>
    <mergeCell ref="AA2:AI2"/>
    <mergeCell ref="BN2:BU2"/>
    <mergeCell ref="BW2:CE2"/>
    <mergeCell ref="CF2:CM2"/>
    <mergeCell ref="B3:O3"/>
    <mergeCell ref="CL3:CM3"/>
    <mergeCell ref="AK2:AR2"/>
    <mergeCell ref="AS2:AX2"/>
    <mergeCell ref="BD2:BF2"/>
    <mergeCell ref="BG2:BK2"/>
  </mergeCells>
  <printOptions/>
  <pageMargins left="0.75" right="0.1" top="0.16" bottom="0.15" header="0.16" footer="0.1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Татьяна</cp:lastModifiedBy>
  <cp:lastPrinted>2015-08-12T07:51:48Z</cp:lastPrinted>
  <dcterms:created xsi:type="dcterms:W3CDTF">1996-10-08T23:32:33Z</dcterms:created>
  <dcterms:modified xsi:type="dcterms:W3CDTF">2015-08-12T07:52:23Z</dcterms:modified>
  <cp:category/>
  <cp:version/>
  <cp:contentType/>
  <cp:contentStatus/>
</cp:coreProperties>
</file>