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домовый учет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<sst xmlns="http://schemas.openxmlformats.org/spreadsheetml/2006/main" count="118" uniqueCount="86">
  <si>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ПОДОМОВЫЙ УЧЕТ СРЕДСТВ</t>
  </si>
  <si>
    <t xml:space="preserve"> собственников  и нанимателей многоквартирных домов,</t>
  </si>
  <si>
    <t>находящихся в управлении МУЖРП-9 г. Подольска</t>
  </si>
  <si>
    <t>Статьи расхода по ставке содержание и ремонт жилищного фонда</t>
  </si>
  <si>
    <t>Капитальный ремонт</t>
  </si>
  <si>
    <t>НАЁМ</t>
  </si>
  <si>
    <t xml:space="preserve">за 9 месяцев  2010 года </t>
  </si>
  <si>
    <t>Санитарное содержание дома, всего</t>
  </si>
  <si>
    <t>в том числе:</t>
  </si>
  <si>
    <t>Текущий ремонт, всего</t>
  </si>
  <si>
    <t>Услуги сторонних органи заций, всего</t>
  </si>
  <si>
    <t>Содержание АУП</t>
  </si>
  <si>
    <t>Услуги управления (ИРЦ)</t>
  </si>
  <si>
    <t>Прочие прямые расходы</t>
  </si>
  <si>
    <t>Вывоз ТБО и КГМ</t>
  </si>
  <si>
    <t xml:space="preserve">Площадь собственников  помещений </t>
  </si>
  <si>
    <t>Ставка     К.Р. (руб/кв.м)</t>
  </si>
  <si>
    <t>Начислено</t>
  </si>
  <si>
    <t>Собрано</t>
  </si>
  <si>
    <t>Израсходовано (руб.)</t>
  </si>
  <si>
    <t>За счет др. ист-ков фин-ирования</t>
  </si>
  <si>
    <t>Ставка найма (руб./кв.м.)</t>
  </si>
  <si>
    <t>№  п/п</t>
  </si>
  <si>
    <t>Название улиц</t>
  </si>
  <si>
    <t>n\n    домов</t>
  </si>
  <si>
    <t xml:space="preserve">Общая площадь собственников и нанимателей помещений </t>
  </si>
  <si>
    <t>Год  застройки</t>
  </si>
  <si>
    <t>К-во п-дов</t>
  </si>
  <si>
    <t>Кол-во этажей</t>
  </si>
  <si>
    <t>К-во лиф-в</t>
  </si>
  <si>
    <t>Кол-во квартир</t>
  </si>
  <si>
    <t>Кол-во эл.плит</t>
  </si>
  <si>
    <t>Уб.пл.    л/кл.</t>
  </si>
  <si>
    <t>Пл.тротуаров</t>
  </si>
  <si>
    <t>Пл.пр.замощений</t>
  </si>
  <si>
    <t>Пл.грунта</t>
  </si>
  <si>
    <t>пл.газона</t>
  </si>
  <si>
    <t>Ко-во м/пр-ов</t>
  </si>
  <si>
    <t>Мат-л стен</t>
  </si>
  <si>
    <t>Мат-л кровли</t>
  </si>
  <si>
    <t>Пл.кровли</t>
  </si>
  <si>
    <t>Ставка   Т/О (руб/кв.м)</t>
  </si>
  <si>
    <t>Запланированый доход (начислено по тарифу)</t>
  </si>
  <si>
    <t>Фактический доход (оплачено населением</t>
  </si>
  <si>
    <t>% сбора</t>
  </si>
  <si>
    <t>Фактический результат по дому:  Собрано- израсходовано (с НДС)</t>
  </si>
  <si>
    <t>ВСЕГО фактический      расход              ( с НДС)</t>
  </si>
  <si>
    <t>ВСЕГО фактический расход по содержанию ж/ф ,без учета мусора  без НДС)</t>
  </si>
  <si>
    <t>Численность</t>
  </si>
  <si>
    <t>Заботная плата</t>
  </si>
  <si>
    <t>Отчисления на соц.нужды</t>
  </si>
  <si>
    <t>ИТОГО: З/плата + начисления</t>
  </si>
  <si>
    <t>Материалы МОП</t>
  </si>
  <si>
    <t>Заработная плата</t>
  </si>
  <si>
    <t>Начисления на з/плату</t>
  </si>
  <si>
    <t>Материалы по факту (см. приложение)</t>
  </si>
  <si>
    <t>Инструмент</t>
  </si>
  <si>
    <t>Подрядные работы по Т.Р.</t>
  </si>
  <si>
    <t>Численность АДС</t>
  </si>
  <si>
    <t>З/плата</t>
  </si>
  <si>
    <t xml:space="preserve">Начисления на з/плату </t>
  </si>
  <si>
    <t>Содержание транспорта</t>
  </si>
  <si>
    <t>Освещение мест общего пользования</t>
  </si>
  <si>
    <t>Дератизация и дезинсекция</t>
  </si>
  <si>
    <t>Обслуживание лифтов</t>
  </si>
  <si>
    <t xml:space="preserve">Очистка вентканалов </t>
  </si>
  <si>
    <t>Очистка дымоходов</t>
  </si>
  <si>
    <t>Т/О внутридомовых газовых сетей и вводов</t>
  </si>
  <si>
    <r>
      <t>Прочие</t>
    </r>
    <r>
      <rPr>
        <b/>
        <sz val="7"/>
        <rFont val="Arial"/>
        <family val="2"/>
      </rPr>
      <t xml:space="preserve"> (пр-пож.мер-я,уб.кр-ль от сн.,з-р сопр-я,хим.оч.вода,р-нт обор-я)</t>
    </r>
  </si>
  <si>
    <t>Численность АУП и вспом. Персонала</t>
  </si>
  <si>
    <t>Начисления на  з/плату</t>
  </si>
  <si>
    <t>Прочие расходы</t>
  </si>
  <si>
    <t>Год кап.ремонта</t>
  </si>
  <si>
    <t>Вид кап.ремонта</t>
  </si>
  <si>
    <t>Сумма затраченных средств</t>
  </si>
  <si>
    <t>Энергосбережения</t>
  </si>
  <si>
    <t>Гор.бюджета</t>
  </si>
  <si>
    <t>Обл.бюджета</t>
  </si>
  <si>
    <t>Инвестпрограмм</t>
  </si>
  <si>
    <t>Бородинская</t>
  </si>
  <si>
    <t>кирпич</t>
  </si>
  <si>
    <t>шифер</t>
  </si>
  <si>
    <t>15А</t>
  </si>
  <si>
    <t>17А</t>
  </si>
  <si>
    <t>совмещ.</t>
  </si>
  <si>
    <t>ИТОГО: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</si>
</sst>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"/>
    <numFmt numFmtId="167" formatCode="0.00"/>
    <numFmt numFmtId="168" formatCode="#,##0.0"/>
    <numFmt numFmtId="169" formatCode="0.0"/>
    <numFmt numFmtId="170" formatCode="#,##0"/>
    <numFmt numFmtId="171" formatCode="#,##0.00;[RED]\-#,##0.00"/>
  </numFmts>
  <fonts count="1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Cyr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2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71" fontId="5" fillId="0" borderId="1" xfId="0" applyNumberFormat="1" applyFont="1" applyBorder="1" applyAlignment="1">
      <alignment/>
    </xf>
    <xf numFmtId="164" fontId="11" fillId="0" borderId="1" xfId="0" applyFont="1" applyBorder="1" applyAlignment="1">
      <alignment/>
    </xf>
    <xf numFmtId="165" fontId="5" fillId="0" borderId="1" xfId="0" applyNumberFormat="1" applyFont="1" applyFill="1" applyBorder="1" applyAlignment="1">
      <alignment horizontal="right"/>
    </xf>
    <xf numFmtId="164" fontId="12" fillId="3" borderId="1" xfId="0" applyFont="1" applyFill="1" applyBorder="1" applyAlignment="1">
      <alignment/>
    </xf>
    <xf numFmtId="164" fontId="12" fillId="3" borderId="1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 horizontal="center"/>
    </xf>
    <xf numFmtId="169" fontId="11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5" fontId="9" fillId="3" borderId="1" xfId="0" applyNumberFormat="1" applyFont="1" applyFill="1" applyBorder="1" applyAlignment="1">
      <alignment/>
    </xf>
    <xf numFmtId="168" fontId="5" fillId="3" borderId="1" xfId="0" applyNumberFormat="1" applyFont="1" applyFill="1" applyBorder="1" applyAlignment="1">
      <alignment/>
    </xf>
    <xf numFmtId="168" fontId="9" fillId="3" borderId="1" xfId="0" applyNumberFormat="1" applyFont="1" applyFill="1" applyBorder="1" applyAlignment="1">
      <alignment/>
    </xf>
    <xf numFmtId="170" fontId="5" fillId="3" borderId="1" xfId="0" applyNumberFormat="1" applyFont="1" applyFill="1" applyBorder="1" applyAlignment="1">
      <alignment/>
    </xf>
    <xf numFmtId="170" fontId="3" fillId="3" borderId="1" xfId="0" applyNumberFormat="1" applyFont="1" applyFill="1" applyBorder="1" applyAlignment="1">
      <alignment/>
    </xf>
    <xf numFmtId="168" fontId="3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171" fontId="5" fillId="3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11" fillId="3" borderId="1" xfId="0" applyFont="1" applyFill="1" applyBorder="1" applyAlignment="1">
      <alignment/>
    </xf>
    <xf numFmtId="165" fontId="11" fillId="3" borderId="1" xfId="0" applyNumberFormat="1" applyFont="1" applyFill="1" applyBorder="1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.00390625" style="1" customWidth="1"/>
    <col min="2" max="2" width="12.421875" style="1" customWidth="1"/>
    <col min="3" max="3" width="4.57421875" style="1" customWidth="1"/>
    <col min="4" max="4" width="13.57421875" style="1" customWidth="1"/>
    <col min="5" max="5" width="6.00390625" style="1" customWidth="1"/>
    <col min="6" max="6" width="3.28125" style="1" customWidth="1"/>
    <col min="7" max="7" width="3.421875" style="1" customWidth="1"/>
    <col min="8" max="8" width="3.140625" style="1" customWidth="1"/>
    <col min="9" max="9" width="4.28125" style="1" customWidth="1"/>
    <col min="10" max="10" width="3.57421875" style="1" customWidth="1"/>
    <col min="11" max="11" width="6.7109375" style="1" customWidth="1"/>
    <col min="12" max="12" width="7.7109375" style="1" customWidth="1"/>
    <col min="13" max="13" width="6.7109375" style="1" customWidth="1"/>
    <col min="14" max="14" width="8.00390625" style="1" customWidth="1"/>
    <col min="15" max="15" width="7.140625" style="1" customWidth="1"/>
    <col min="16" max="16" width="3.7109375" style="1" customWidth="1"/>
    <col min="17" max="18" width="8.421875" style="1" customWidth="1"/>
    <col min="19" max="19" width="9.7109375" style="1" customWidth="1"/>
    <col min="20" max="20" width="8.57421875" style="1" customWidth="1"/>
    <col min="21" max="21" width="12.57421875" style="1" customWidth="1"/>
    <col min="22" max="22" width="12.8515625" style="1" customWidth="1"/>
    <col min="23" max="23" width="7.140625" style="1" customWidth="1"/>
    <col min="24" max="25" width="14.421875" style="1" customWidth="1"/>
    <col min="26" max="26" width="15.8515625" style="1" customWidth="1"/>
    <col min="27" max="27" width="22.140625" style="1" customWidth="1"/>
    <col min="28" max="28" width="15.140625" style="1" customWidth="1"/>
    <col min="29" max="29" width="13.7109375" style="1" customWidth="1"/>
    <col min="30" max="30" width="18.421875" style="1" customWidth="1"/>
    <col min="31" max="31" width="19.57421875" style="1" customWidth="1"/>
    <col min="32" max="32" width="12.140625" style="1" customWidth="1"/>
    <col min="33" max="33" width="10.421875" style="1" customWidth="1"/>
    <col min="34" max="34" width="7.421875" style="1" customWidth="1"/>
    <col min="35" max="35" width="10.421875" style="1" customWidth="1"/>
    <col min="36" max="36" width="9.7109375" style="1" customWidth="1"/>
    <col min="37" max="37" width="11.28125" style="1" customWidth="1"/>
    <col min="38" max="38" width="9.00390625" style="1" customWidth="1"/>
    <col min="39" max="39" width="8.421875" style="1" customWidth="1"/>
    <col min="40" max="40" width="7.28125" style="1" customWidth="1"/>
    <col min="41" max="41" width="9.140625" style="1" customWidth="1"/>
    <col min="42" max="42" width="8.7109375" style="1" customWidth="1"/>
    <col min="43" max="44" width="12.140625" style="1" customWidth="1"/>
    <col min="45" max="45" width="10.8515625" style="1" customWidth="1"/>
    <col min="46" max="46" width="9.28125" style="1" customWidth="1"/>
    <col min="47" max="47" width="10.8515625" style="1" customWidth="1"/>
    <col min="48" max="48" width="12.8515625" style="1" customWidth="1"/>
    <col min="49" max="49" width="12.421875" style="1" customWidth="1"/>
    <col min="50" max="50" width="12.28125" style="1" customWidth="1"/>
    <col min="51" max="51" width="14.7109375" style="1" customWidth="1"/>
    <col min="52" max="53" width="11.7109375" style="1" customWidth="1"/>
    <col min="54" max="54" width="11.8515625" style="1" customWidth="1"/>
    <col min="56" max="56" width="12.28125" style="1" customWidth="1"/>
    <col min="57" max="57" width="15.57421875" style="1" customWidth="1"/>
    <col min="58" max="58" width="15.28125" style="1" customWidth="1"/>
    <col min="59" max="59" width="11.8515625" style="1" customWidth="1"/>
    <col min="60" max="60" width="9.7109375" style="1" customWidth="1"/>
    <col min="61" max="61" width="8.7109375" style="1" customWidth="1"/>
    <col min="62" max="62" width="10.00390625" style="1" customWidth="1"/>
    <col min="63" max="63" width="10.28125" style="1" customWidth="1"/>
    <col min="64" max="64" width="7.8515625" style="1" customWidth="1"/>
    <col min="65" max="65" width="11.140625" style="1" customWidth="1"/>
    <col min="66" max="66" width="9.7109375" style="1" customWidth="1"/>
    <col min="67" max="67" width="5.140625" style="1" customWidth="1"/>
    <col min="68" max="69" width="5.28125" style="1" customWidth="1"/>
    <col min="70" max="70" width="8.7109375" style="1" customWidth="1"/>
    <col min="71" max="71" width="14.57421875" style="1" customWidth="1"/>
    <col min="72" max="72" width="16.57421875" style="1" customWidth="1"/>
    <col min="73" max="73" width="18.8515625" style="1" customWidth="1"/>
  </cols>
  <sheetData>
    <row r="1" spans="1:17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0.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79" ht="11.2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AF5" s="1">
        <v>3</v>
      </c>
      <c r="AQ5" s="1">
        <v>4</v>
      </c>
      <c r="AY5" s="1">
        <v>5</v>
      </c>
      <c r="BG5" s="1">
        <v>6</v>
      </c>
      <c r="BR5" s="1">
        <v>7</v>
      </c>
      <c r="CA5" s="1">
        <v>8</v>
      </c>
    </row>
    <row r="6" spans="1:73" ht="10.5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AA6" s="4" t="s">
        <v>3</v>
      </c>
      <c r="AB6" s="4"/>
      <c r="AC6" s="4"/>
      <c r="AD6" s="4"/>
      <c r="AE6" s="4"/>
      <c r="AF6" s="4"/>
      <c r="AG6" s="4" t="s">
        <v>3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 t="s">
        <v>3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 t="s">
        <v>4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5" t="s">
        <v>5</v>
      </c>
      <c r="BT6" s="5"/>
      <c r="BU6" s="5"/>
    </row>
    <row r="7" spans="1:73" ht="9.75" customHeight="1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Z7" s="1">
        <v>2</v>
      </c>
      <c r="AA7" s="6" t="s">
        <v>7</v>
      </c>
      <c r="AB7" s="7" t="s">
        <v>8</v>
      </c>
      <c r="AC7" s="7"/>
      <c r="AD7" s="7"/>
      <c r="AE7" s="7"/>
      <c r="AF7" s="7"/>
      <c r="AG7" s="8" t="s">
        <v>9</v>
      </c>
      <c r="AH7" s="9" t="s">
        <v>8</v>
      </c>
      <c r="AI7" s="9"/>
      <c r="AJ7" s="9"/>
      <c r="AK7" s="9"/>
      <c r="AL7" s="9"/>
      <c r="AM7" s="9"/>
      <c r="AN7" s="9"/>
      <c r="AO7" s="9"/>
      <c r="AP7" s="9"/>
      <c r="AQ7" s="9"/>
      <c r="AR7" s="10" t="s">
        <v>10</v>
      </c>
      <c r="AS7" s="11" t="s">
        <v>8</v>
      </c>
      <c r="AT7" s="11"/>
      <c r="AU7" s="11"/>
      <c r="AV7" s="11"/>
      <c r="AW7" s="11"/>
      <c r="AX7" s="11"/>
      <c r="AY7" s="11"/>
      <c r="AZ7" s="12" t="s">
        <v>11</v>
      </c>
      <c r="BA7" s="11" t="s">
        <v>8</v>
      </c>
      <c r="BB7" s="11"/>
      <c r="BC7" s="11"/>
      <c r="BD7" s="11"/>
      <c r="BE7" s="13" t="s">
        <v>12</v>
      </c>
      <c r="BF7" s="13" t="s">
        <v>13</v>
      </c>
      <c r="BG7" s="13" t="s">
        <v>14</v>
      </c>
      <c r="BH7" s="14" t="s">
        <v>15</v>
      </c>
      <c r="BI7" s="15" t="s">
        <v>16</v>
      </c>
      <c r="BJ7" s="15" t="s">
        <v>17</v>
      </c>
      <c r="BK7" s="15" t="s">
        <v>18</v>
      </c>
      <c r="BL7" s="5" t="s">
        <v>19</v>
      </c>
      <c r="BM7" s="5"/>
      <c r="BN7" s="5"/>
      <c r="BO7" s="16" t="s">
        <v>20</v>
      </c>
      <c r="BP7" s="16"/>
      <c r="BQ7" s="16"/>
      <c r="BR7" s="16"/>
      <c r="BS7" s="10" t="s">
        <v>21</v>
      </c>
      <c r="BT7" s="10" t="s">
        <v>17</v>
      </c>
      <c r="BU7" s="17" t="s">
        <v>18</v>
      </c>
    </row>
    <row r="8" spans="1:73" ht="36" customHeight="1">
      <c r="A8" s="18" t="s">
        <v>22</v>
      </c>
      <c r="B8" s="18" t="s">
        <v>23</v>
      </c>
      <c r="C8" s="18" t="s">
        <v>24</v>
      </c>
      <c r="D8" s="19" t="s">
        <v>25</v>
      </c>
      <c r="E8" s="6" t="s">
        <v>26</v>
      </c>
      <c r="F8" s="20" t="s">
        <v>27</v>
      </c>
      <c r="G8" s="20" t="s">
        <v>28</v>
      </c>
      <c r="H8" s="20" t="s">
        <v>29</v>
      </c>
      <c r="I8" s="20" t="s">
        <v>30</v>
      </c>
      <c r="J8" s="20" t="s">
        <v>31</v>
      </c>
      <c r="K8" s="12" t="s">
        <v>32</v>
      </c>
      <c r="L8" s="6" t="s">
        <v>33</v>
      </c>
      <c r="M8" s="12" t="s">
        <v>34</v>
      </c>
      <c r="N8" s="20" t="s">
        <v>35</v>
      </c>
      <c r="O8" s="12" t="s">
        <v>36</v>
      </c>
      <c r="P8" s="20" t="s">
        <v>37</v>
      </c>
      <c r="Q8" s="6" t="s">
        <v>38</v>
      </c>
      <c r="R8" s="6" t="s">
        <v>39</v>
      </c>
      <c r="S8" s="6" t="s">
        <v>40</v>
      </c>
      <c r="T8" s="21" t="s">
        <v>41</v>
      </c>
      <c r="U8" s="19" t="s">
        <v>42</v>
      </c>
      <c r="V8" s="19" t="s">
        <v>43</v>
      </c>
      <c r="W8" s="6" t="s">
        <v>44</v>
      </c>
      <c r="X8" s="22" t="s">
        <v>45</v>
      </c>
      <c r="Y8" s="20" t="s">
        <v>46</v>
      </c>
      <c r="Z8" s="20" t="s">
        <v>47</v>
      </c>
      <c r="AA8" s="6"/>
      <c r="AB8" s="6" t="s">
        <v>48</v>
      </c>
      <c r="AC8" s="6" t="s">
        <v>49</v>
      </c>
      <c r="AD8" s="6" t="s">
        <v>50</v>
      </c>
      <c r="AE8" s="6" t="s">
        <v>51</v>
      </c>
      <c r="AF8" s="6" t="s">
        <v>52</v>
      </c>
      <c r="AG8" s="8"/>
      <c r="AH8" s="12" t="s">
        <v>48</v>
      </c>
      <c r="AI8" s="12" t="s">
        <v>53</v>
      </c>
      <c r="AJ8" s="12" t="s">
        <v>54</v>
      </c>
      <c r="AK8" s="20" t="s">
        <v>55</v>
      </c>
      <c r="AL8" s="12" t="s">
        <v>56</v>
      </c>
      <c r="AM8" s="20" t="s">
        <v>57</v>
      </c>
      <c r="AN8" s="12" t="s">
        <v>58</v>
      </c>
      <c r="AO8" s="12" t="s">
        <v>59</v>
      </c>
      <c r="AP8" s="12" t="s">
        <v>60</v>
      </c>
      <c r="AQ8" s="12" t="s">
        <v>61</v>
      </c>
      <c r="AR8" s="10"/>
      <c r="AS8" s="20" t="s">
        <v>62</v>
      </c>
      <c r="AT8" s="20" t="s">
        <v>63</v>
      </c>
      <c r="AU8" s="12" t="s">
        <v>64</v>
      </c>
      <c r="AV8" s="12" t="s">
        <v>65</v>
      </c>
      <c r="AW8" s="12" t="s">
        <v>66</v>
      </c>
      <c r="AX8" s="20" t="s">
        <v>67</v>
      </c>
      <c r="AY8" s="23" t="s">
        <v>68</v>
      </c>
      <c r="AZ8" s="12"/>
      <c r="BA8" s="12" t="s">
        <v>69</v>
      </c>
      <c r="BB8" s="12" t="s">
        <v>59</v>
      </c>
      <c r="BC8" s="12" t="s">
        <v>70</v>
      </c>
      <c r="BD8" s="13" t="s">
        <v>71</v>
      </c>
      <c r="BE8" s="13"/>
      <c r="BF8" s="13"/>
      <c r="BG8" s="13"/>
      <c r="BH8" s="14"/>
      <c r="BI8" s="14"/>
      <c r="BJ8" s="14"/>
      <c r="BK8" s="14"/>
      <c r="BL8" s="13" t="s">
        <v>72</v>
      </c>
      <c r="BM8" s="13" t="s">
        <v>73</v>
      </c>
      <c r="BN8" s="20" t="s">
        <v>74</v>
      </c>
      <c r="BO8" s="20" t="s">
        <v>75</v>
      </c>
      <c r="BP8" s="13" t="s">
        <v>76</v>
      </c>
      <c r="BQ8" s="13" t="s">
        <v>77</v>
      </c>
      <c r="BR8" s="13" t="s">
        <v>78</v>
      </c>
      <c r="BS8" s="10"/>
      <c r="BT8" s="10"/>
      <c r="BU8" s="17"/>
    </row>
    <row r="9" spans="1:73" ht="12.7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4">
        <v>27</v>
      </c>
      <c r="AB9" s="24">
        <v>28</v>
      </c>
      <c r="AC9" s="25">
        <v>29</v>
      </c>
      <c r="AD9" s="24">
        <v>30</v>
      </c>
      <c r="AE9" s="24">
        <v>31</v>
      </c>
      <c r="AF9" s="24">
        <v>32</v>
      </c>
      <c r="AG9" s="24">
        <v>33</v>
      </c>
      <c r="AH9" s="24">
        <v>34</v>
      </c>
      <c r="AI9" s="26">
        <v>35</v>
      </c>
      <c r="AJ9" s="24">
        <v>36</v>
      </c>
      <c r="AK9" s="24">
        <v>37</v>
      </c>
      <c r="AL9" s="26">
        <v>38</v>
      </c>
      <c r="AM9" s="24">
        <v>39</v>
      </c>
      <c r="AN9" s="24">
        <v>40</v>
      </c>
      <c r="AO9" s="24">
        <v>41</v>
      </c>
      <c r="AP9" s="25">
        <v>42</v>
      </c>
      <c r="AQ9" s="25">
        <v>43</v>
      </c>
      <c r="AR9" s="24">
        <v>44</v>
      </c>
      <c r="AS9" s="24">
        <v>45</v>
      </c>
      <c r="AT9" s="25">
        <v>46</v>
      </c>
      <c r="AU9" s="24">
        <v>47</v>
      </c>
      <c r="AV9" s="24">
        <v>48</v>
      </c>
      <c r="AW9" s="24">
        <v>49</v>
      </c>
      <c r="AX9" s="24">
        <v>50</v>
      </c>
      <c r="AY9" s="24">
        <v>51</v>
      </c>
      <c r="AZ9" s="24">
        <v>52</v>
      </c>
      <c r="BA9" s="24">
        <v>53</v>
      </c>
      <c r="BB9" s="25">
        <v>54</v>
      </c>
      <c r="BC9" s="24">
        <v>55</v>
      </c>
      <c r="BD9" s="24">
        <v>56</v>
      </c>
      <c r="BE9" s="24">
        <v>57</v>
      </c>
      <c r="BF9" s="24">
        <v>58</v>
      </c>
      <c r="BG9" s="25">
        <v>59</v>
      </c>
      <c r="BH9" s="24">
        <v>60</v>
      </c>
      <c r="BI9" s="24">
        <v>61</v>
      </c>
      <c r="BJ9" s="25">
        <v>62</v>
      </c>
      <c r="BK9" s="24">
        <v>63</v>
      </c>
      <c r="BL9" s="24">
        <v>64</v>
      </c>
      <c r="BM9" s="24">
        <v>65</v>
      </c>
      <c r="BN9" s="24">
        <v>66</v>
      </c>
      <c r="BO9" s="24">
        <v>67</v>
      </c>
      <c r="BP9" s="25">
        <v>68</v>
      </c>
      <c r="BQ9" s="24">
        <v>69</v>
      </c>
      <c r="BR9" s="24">
        <v>70</v>
      </c>
      <c r="BS9" s="24">
        <v>71</v>
      </c>
      <c r="BT9" s="24">
        <v>72</v>
      </c>
      <c r="BU9" s="24">
        <v>73</v>
      </c>
    </row>
    <row r="10" spans="1:73" ht="10.5" customHeight="1">
      <c r="A10" s="27">
        <v>25</v>
      </c>
      <c r="B10" s="27" t="s">
        <v>79</v>
      </c>
      <c r="C10" s="28">
        <v>15</v>
      </c>
      <c r="D10" s="29">
        <v>2034.2</v>
      </c>
      <c r="E10" s="30">
        <v>1960</v>
      </c>
      <c r="F10" s="31">
        <v>3</v>
      </c>
      <c r="G10" s="31">
        <v>4</v>
      </c>
      <c r="H10" s="31"/>
      <c r="I10" s="31">
        <v>48</v>
      </c>
      <c r="J10" s="31"/>
      <c r="K10" s="32">
        <v>172.1</v>
      </c>
      <c r="L10" s="33">
        <v>98</v>
      </c>
      <c r="M10" s="34">
        <v>1498</v>
      </c>
      <c r="N10" s="34">
        <v>141</v>
      </c>
      <c r="O10" s="34">
        <v>817</v>
      </c>
      <c r="P10" s="31"/>
      <c r="Q10" s="35" t="s">
        <v>80</v>
      </c>
      <c r="R10" s="35" t="s">
        <v>81</v>
      </c>
      <c r="S10" s="34">
        <v>896</v>
      </c>
      <c r="T10" s="36">
        <v>16.95</v>
      </c>
      <c r="U10" s="36">
        <v>310318.29</v>
      </c>
      <c r="V10" s="36">
        <v>286487.35</v>
      </c>
      <c r="W10" s="37">
        <f>V10/U10*100</f>
        <v>92.32048488021766</v>
      </c>
      <c r="X10" s="36">
        <f>V10-Y10</f>
        <v>-57220.12543122767</v>
      </c>
      <c r="Y10" s="36">
        <f>Z10*1.18</f>
        <v>343707.47543122765</v>
      </c>
      <c r="Z10" s="36">
        <f>AA10+AG10+AR10+AZ10+BE10+BF10</f>
        <v>291277.52155188785</v>
      </c>
      <c r="AA10" s="38">
        <f>AE10+AF10</f>
        <v>47939.55320780856</v>
      </c>
      <c r="AB10" s="38">
        <v>0.93</v>
      </c>
      <c r="AC10" s="38">
        <f>3335677.04/79.4*AB10</f>
        <v>39070.2726347607</v>
      </c>
      <c r="AD10" s="38">
        <f>529475.59/3335677.04*AC10</f>
        <v>6201.666230478589</v>
      </c>
      <c r="AE10" s="38">
        <f>AC10+AD10</f>
        <v>45271.93886523929</v>
      </c>
      <c r="AF10" s="38">
        <f>227751.16/79.4*AB10</f>
        <v>2667.6143425692694</v>
      </c>
      <c r="AG10" s="38">
        <f>AI10+AJ10+AK10+AL10+AM10+AO10+AP10+AQ10</f>
        <v>129647.0440939578</v>
      </c>
      <c r="AH10" s="38">
        <f>0.687+0.018</f>
        <v>0.7050000000000001</v>
      </c>
      <c r="AI10" s="38">
        <f>4838591.15/63.3*AH10</f>
        <v>53889.52228672987</v>
      </c>
      <c r="AJ10" s="38">
        <f>965412.23/4838591.15*AI10</f>
        <v>10752.221518957349</v>
      </c>
      <c r="AK10" s="39">
        <v>37255.59</v>
      </c>
      <c r="AL10" s="40">
        <f>123624.91/74.3*(AH10+AN10)</f>
        <v>1353.2993708701415</v>
      </c>
      <c r="AM10" s="40">
        <f>3031.27+4278.52</f>
        <v>7309.790000000001</v>
      </c>
      <c r="AN10" s="36">
        <f>11/206520.5*D10</f>
        <v>0.10834856588086897</v>
      </c>
      <c r="AO10" s="36">
        <f>1348323.71/11*AN10</f>
        <v>13280.812756515696</v>
      </c>
      <c r="AP10" s="38">
        <f>277648.69/1348323.71*AO10</f>
        <v>2734.8033982001784</v>
      </c>
      <c r="AQ10" s="38">
        <f>311781.26/206520.5*D10</f>
        <v>3071.0047626845762</v>
      </c>
      <c r="AR10" s="38">
        <f>AS10+AT10+AU10+AV10+AW10+AX10+AY10</f>
        <v>16801.615233176457</v>
      </c>
      <c r="AS10" s="38">
        <f>518*2.6*9</f>
        <v>12121.199999999999</v>
      </c>
      <c r="AT10" s="40">
        <f>145379.72/206520.5*D10</f>
        <v>1431.9712881965713</v>
      </c>
      <c r="AU10" s="38"/>
      <c r="AV10" s="38">
        <f>20083.92/4341*I10</f>
        <v>222.07513476157567</v>
      </c>
      <c r="AW10" s="38">
        <f>46783.46/1064*I10</f>
        <v>2110.532030075188</v>
      </c>
      <c r="AX10" s="38">
        <f>21076.61/58093.7*D10</f>
        <v>738.0153108168356</v>
      </c>
      <c r="AY10" s="38">
        <f>18053.18/206520.5*D10</f>
        <v>177.82146932628964</v>
      </c>
      <c r="AZ10" s="41">
        <f>BB10+BC10+BD10</f>
        <v>56885.346478359286</v>
      </c>
      <c r="BA10" s="41">
        <f>37.6/206520.5*D10</f>
        <v>0.3703550979200612</v>
      </c>
      <c r="BB10" s="38">
        <f>4053113.48/37.6*BA10</f>
        <v>39922.63935549255</v>
      </c>
      <c r="BC10" s="38">
        <f>887989.5/4053113.48*BB10</f>
        <v>8746.580803842717</v>
      </c>
      <c r="BD10" s="38">
        <f>834135.54/37.6*BA10</f>
        <v>8216.12631902402</v>
      </c>
      <c r="BE10" s="38">
        <f>3513152.23/206520.5*D10</f>
        <v>34604.091440152435</v>
      </c>
      <c r="BF10" s="40">
        <f>548217.52/206520.5*D10</f>
        <v>5399.8710984333275</v>
      </c>
      <c r="BG10" s="38">
        <v>53230.44</v>
      </c>
      <c r="BH10" s="38">
        <v>1470.4</v>
      </c>
      <c r="BI10" s="38">
        <v>1.18</v>
      </c>
      <c r="BJ10" s="38">
        <v>15267.28</v>
      </c>
      <c r="BK10" s="38">
        <v>14341.44</v>
      </c>
      <c r="BL10" s="41"/>
      <c r="BM10" s="41"/>
      <c r="BN10" s="42"/>
      <c r="BO10" s="43"/>
      <c r="BP10" s="43"/>
      <c r="BQ10" s="43"/>
      <c r="BR10" s="43"/>
      <c r="BS10" s="29">
        <v>0.85</v>
      </c>
      <c r="BT10" s="29">
        <v>4022.43</v>
      </c>
      <c r="BU10" s="44">
        <v>3476.92</v>
      </c>
    </row>
    <row r="11" spans="1:73" ht="9.75" customHeight="1">
      <c r="A11" s="27">
        <v>26</v>
      </c>
      <c r="B11" s="27" t="s">
        <v>79</v>
      </c>
      <c r="C11" s="28" t="s">
        <v>82</v>
      </c>
      <c r="D11" s="38">
        <v>3187.2</v>
      </c>
      <c r="E11" s="30">
        <v>1962</v>
      </c>
      <c r="F11" s="31">
        <v>4</v>
      </c>
      <c r="G11" s="31">
        <v>5</v>
      </c>
      <c r="H11" s="31"/>
      <c r="I11" s="31">
        <v>80</v>
      </c>
      <c r="J11" s="31"/>
      <c r="K11" s="32">
        <v>293.3</v>
      </c>
      <c r="L11" s="33">
        <f>297+228</f>
        <v>525</v>
      </c>
      <c r="M11" s="34">
        <v>439</v>
      </c>
      <c r="N11" s="34">
        <v>0</v>
      </c>
      <c r="O11" s="34">
        <v>1360</v>
      </c>
      <c r="P11" s="31"/>
      <c r="Q11" s="35" t="s">
        <v>80</v>
      </c>
      <c r="R11" s="35" t="s">
        <v>81</v>
      </c>
      <c r="S11" s="34">
        <v>1092</v>
      </c>
      <c r="T11" s="36">
        <v>16.95</v>
      </c>
      <c r="U11" s="36">
        <v>486209.07</v>
      </c>
      <c r="V11" s="36">
        <v>461562.9</v>
      </c>
      <c r="W11" s="37">
        <f>V11/U11*100</f>
        <v>94.93095223419013</v>
      </c>
      <c r="X11" s="36">
        <f>V11-Y11</f>
        <v>34860.936168429034</v>
      </c>
      <c r="Y11" s="36">
        <f>Z11*1.18</f>
        <v>426701.963831571</v>
      </c>
      <c r="Z11" s="36">
        <f>AA11+AG11+AR11+AZ11+BE11+BF11</f>
        <v>361611.83375556866</v>
      </c>
      <c r="AA11" s="38">
        <f>AE11+AF11</f>
        <v>42784.762540302254</v>
      </c>
      <c r="AB11" s="38">
        <v>0.83</v>
      </c>
      <c r="AC11" s="38">
        <f>3335677.04/79.4*AB11</f>
        <v>34869.168050377826</v>
      </c>
      <c r="AD11" s="38">
        <f>529475.59/3335677.04*AC11</f>
        <v>5534.820399244331</v>
      </c>
      <c r="AE11" s="38">
        <f>AC11+AD11</f>
        <v>40403.98844962216</v>
      </c>
      <c r="AF11" s="38">
        <f>227751.16/79.4*AB11</f>
        <v>2380.7740906801005</v>
      </c>
      <c r="AG11" s="38">
        <f>AI11+AJ11+AK11+AL11+AM11+AO11+AP11+AQ11</f>
        <v>140650.05231835242</v>
      </c>
      <c r="AH11" s="38">
        <f>1.076+0.018</f>
        <v>1.094</v>
      </c>
      <c r="AI11" s="38">
        <f>4838591.15/63.3*AH11</f>
        <v>83624.30834281203</v>
      </c>
      <c r="AJ11" s="38">
        <f>965412.23/4838591.15*AI11</f>
        <v>16685.007576935233</v>
      </c>
      <c r="AK11" s="39">
        <f>7863.95+469</f>
        <v>8332.95</v>
      </c>
      <c r="AL11" s="40">
        <f>123624.91/74.3*(AH11+AN11)</f>
        <v>2102.723873809807</v>
      </c>
      <c r="AM11" s="40"/>
      <c r="AN11" s="36">
        <f>11/206520.5*D11</f>
        <v>0.1697613554102377</v>
      </c>
      <c r="AO11" s="36">
        <f>1348323.71/11*AN11</f>
        <v>20808.47823103275</v>
      </c>
      <c r="AP11" s="38">
        <f>277648.69/1348323.71*AO11</f>
        <v>4284.9107220251735</v>
      </c>
      <c r="AQ11" s="38">
        <f>311781.26/206520.5*D11</f>
        <v>4811.67357173743</v>
      </c>
      <c r="AR11" s="38">
        <f>AS11+AT11+AU11+AV11+AW11+AX11+AY11</f>
        <v>26370.114119209076</v>
      </c>
      <c r="AS11" s="38">
        <f>853*2.6*9</f>
        <v>19960.2</v>
      </c>
      <c r="AT11" s="40">
        <f>145379.72/206520.5*D11</f>
        <v>2243.6234833055314</v>
      </c>
      <c r="AU11" s="38"/>
      <c r="AV11" s="38">
        <f>20083.92/4341*I11</f>
        <v>370.1252246026261</v>
      </c>
      <c r="AW11" s="38">
        <f>46783.46/1064*I11</f>
        <v>3517.5533834586463</v>
      </c>
      <c r="AX11" s="38"/>
      <c r="AY11" s="38">
        <f>18053.18/206520.5*D11</f>
        <v>278.6120278422723</v>
      </c>
      <c r="AZ11" s="41">
        <f>BB11+BC11+BD11</f>
        <v>89128.39263387411</v>
      </c>
      <c r="BA11" s="41">
        <f>37.6/206520.5*D11</f>
        <v>0.5802751784931762</v>
      </c>
      <c r="BB11" s="38">
        <f>4053113.48/37.6*BA11</f>
        <v>62551.09436330049</v>
      </c>
      <c r="BC11" s="38">
        <f>887989.5/4053113.48*BB11</f>
        <v>13704.209191823571</v>
      </c>
      <c r="BD11" s="38">
        <f>834135.54/37.6*BA11</f>
        <v>12873.089078750052</v>
      </c>
      <c r="BE11" s="38">
        <f>3513152.23/206520.5*D11</f>
        <v>54217.953120663566</v>
      </c>
      <c r="BF11" s="40">
        <f>548217.52/206520.5*D11</f>
        <v>8460.55902316719</v>
      </c>
      <c r="BG11" s="38">
        <v>82109.68</v>
      </c>
      <c r="BH11" s="38">
        <v>2013.4</v>
      </c>
      <c r="BI11" s="38">
        <v>1.18</v>
      </c>
      <c r="BJ11" s="38">
        <v>20967.63</v>
      </c>
      <c r="BK11" s="38">
        <v>20388.73</v>
      </c>
      <c r="BL11" s="41"/>
      <c r="BM11" s="41"/>
      <c r="BN11" s="42"/>
      <c r="BO11" s="43"/>
      <c r="BP11" s="43"/>
      <c r="BQ11" s="43"/>
      <c r="BR11" s="43"/>
      <c r="BS11" s="29">
        <v>0.85</v>
      </c>
      <c r="BT11" s="29">
        <v>7885.63</v>
      </c>
      <c r="BU11" s="44">
        <v>7026.38</v>
      </c>
    </row>
    <row r="12" spans="1:73" ht="9.75" customHeight="1">
      <c r="A12" s="27">
        <v>27</v>
      </c>
      <c r="B12" s="27" t="s">
        <v>79</v>
      </c>
      <c r="C12" s="28">
        <v>17</v>
      </c>
      <c r="D12" s="29">
        <v>2005.2</v>
      </c>
      <c r="E12" s="30">
        <v>1961</v>
      </c>
      <c r="F12" s="31">
        <v>3</v>
      </c>
      <c r="G12" s="31">
        <v>4</v>
      </c>
      <c r="H12" s="31"/>
      <c r="I12" s="31">
        <v>40</v>
      </c>
      <c r="J12" s="31"/>
      <c r="K12" s="32">
        <v>175.2</v>
      </c>
      <c r="L12" s="33">
        <f>225+544</f>
        <v>769</v>
      </c>
      <c r="M12" s="34">
        <v>0</v>
      </c>
      <c r="N12" s="34">
        <v>0</v>
      </c>
      <c r="O12" s="34">
        <v>1374</v>
      </c>
      <c r="P12" s="31"/>
      <c r="Q12" s="35" t="s">
        <v>80</v>
      </c>
      <c r="R12" s="35" t="s">
        <v>81</v>
      </c>
      <c r="S12" s="34">
        <v>885</v>
      </c>
      <c r="T12" s="36">
        <v>16.95</v>
      </c>
      <c r="U12" s="36">
        <v>305894.61</v>
      </c>
      <c r="V12" s="36">
        <v>298179.56</v>
      </c>
      <c r="W12" s="37">
        <f>V12/U12*100</f>
        <v>97.47787317991644</v>
      </c>
      <c r="X12" s="36">
        <f>V12-Y12</f>
        <v>931.7289166087285</v>
      </c>
      <c r="Y12" s="36">
        <f>Z12*1.18</f>
        <v>297247.83108339127</v>
      </c>
      <c r="Z12" s="36">
        <f>AA12+AG12+AR12+AZ12+BE12+BF12</f>
        <v>251904.9415960943</v>
      </c>
      <c r="AA12" s="38">
        <f>AE12+AF12</f>
        <v>30928.744005037777</v>
      </c>
      <c r="AB12" s="38">
        <v>0.6</v>
      </c>
      <c r="AC12" s="38">
        <f>3335677.04/79.4*AB12</f>
        <v>25206.627506297224</v>
      </c>
      <c r="AD12" s="38">
        <f>529475.59/3335677.04*AC12</f>
        <v>4001.0749874055405</v>
      </c>
      <c r="AE12" s="38">
        <f>AC12+AD12</f>
        <v>29207.702493702764</v>
      </c>
      <c r="AF12" s="38">
        <f>227751.16/79.4*AB12</f>
        <v>1721.0415113350125</v>
      </c>
      <c r="AG12" s="38">
        <f>AI12+AJ12+AK12+AL12+AM12+AO12+AP12+AQ12</f>
        <v>109816.28124535689</v>
      </c>
      <c r="AH12" s="38">
        <f>0.652+0.018</f>
        <v>0.67</v>
      </c>
      <c r="AI12" s="38">
        <f>4838591.15/63.3*AH12</f>
        <v>51214.15593206952</v>
      </c>
      <c r="AJ12" s="38">
        <f>965412.23/4838591.15*AI12</f>
        <v>10218.423287519749</v>
      </c>
      <c r="AK12" s="39">
        <v>25245.42</v>
      </c>
      <c r="AL12" s="40">
        <f>123624.91/74.3*(AH12+AN12)</f>
        <v>1292.4941496633173</v>
      </c>
      <c r="AM12" s="40">
        <v>3031.27</v>
      </c>
      <c r="AN12" s="36">
        <f>11/206520.5*D12</f>
        <v>0.10680392503407653</v>
      </c>
      <c r="AO12" s="36">
        <f>1348323.71/11*AN12</f>
        <v>13091.478585864357</v>
      </c>
      <c r="AP12" s="38">
        <f>277648.69/1348323.71*AO12</f>
        <v>2695.8154429608685</v>
      </c>
      <c r="AQ12" s="38">
        <f>311781.26/206520.5*D12</f>
        <v>3027.223847279084</v>
      </c>
      <c r="AR12" s="38">
        <f>AS12+AT12+AU12+AV12+AW12+AX12+AY12</f>
        <v>15651.882504003519</v>
      </c>
      <c r="AS12" s="38">
        <f>518*2.6*9</f>
        <v>12121.199999999999</v>
      </c>
      <c r="AT12" s="40">
        <f>145379.72/206520.5*D12</f>
        <v>1411.5567923959125</v>
      </c>
      <c r="AU12" s="38"/>
      <c r="AV12" s="38">
        <f>20083.92/4341*I12</f>
        <v>185.06261230131304</v>
      </c>
      <c r="AW12" s="38">
        <f>46783.46/1064*I12</f>
        <v>1758.7766917293231</v>
      </c>
      <c r="AX12" s="38"/>
      <c r="AY12" s="38">
        <f>18053.18/206520.5*D12</f>
        <v>175.28640757697178</v>
      </c>
      <c r="AZ12" s="41">
        <f>BB12+BC12+BD12</f>
        <v>56074.376540362835</v>
      </c>
      <c r="BA12" s="41">
        <f>37.6/206520.5*D12</f>
        <v>0.3650752346619343</v>
      </c>
      <c r="BB12" s="38">
        <f>4053113.48/37.6*BA12</f>
        <v>39353.49347932046</v>
      </c>
      <c r="BC12" s="38">
        <f>887989.5/4053113.48*BB12</f>
        <v>8621.887635367919</v>
      </c>
      <c r="BD12" s="38">
        <f>834135.54/37.6*BA12</f>
        <v>8098.9954256744495</v>
      </c>
      <c r="BE12" s="38">
        <f>3513152.23/206520.5*D12</f>
        <v>34110.76794601989</v>
      </c>
      <c r="BF12" s="40">
        <f>548217.52/206520.5*D12</f>
        <v>5322.889355313395</v>
      </c>
      <c r="BG12" s="38">
        <v>50727.38</v>
      </c>
      <c r="BH12" s="38">
        <v>1497.5</v>
      </c>
      <c r="BI12" s="38">
        <v>1.18</v>
      </c>
      <c r="BJ12" s="38">
        <v>15539.23</v>
      </c>
      <c r="BK12" s="38">
        <v>14576.82</v>
      </c>
      <c r="BL12" s="41"/>
      <c r="BM12" s="41"/>
      <c r="BN12" s="42"/>
      <c r="BO12" s="43"/>
      <c r="BP12" s="43"/>
      <c r="BQ12" s="43"/>
      <c r="BR12" s="43"/>
      <c r="BS12" s="29">
        <v>0.85</v>
      </c>
      <c r="BT12" s="29">
        <v>3099.15</v>
      </c>
      <c r="BU12" s="44">
        <v>2698.08</v>
      </c>
    </row>
    <row r="13" spans="1:73" ht="9.75" customHeight="1">
      <c r="A13" s="27">
        <v>28</v>
      </c>
      <c r="B13" s="27" t="s">
        <v>79</v>
      </c>
      <c r="C13" s="28" t="s">
        <v>83</v>
      </c>
      <c r="D13" s="38">
        <v>3202.1</v>
      </c>
      <c r="E13" s="30">
        <v>1968</v>
      </c>
      <c r="F13" s="31">
        <v>4</v>
      </c>
      <c r="G13" s="31">
        <v>5</v>
      </c>
      <c r="H13" s="31"/>
      <c r="I13" s="31">
        <v>80</v>
      </c>
      <c r="J13" s="31"/>
      <c r="K13" s="32">
        <v>310.3</v>
      </c>
      <c r="L13" s="33">
        <v>853</v>
      </c>
      <c r="M13" s="34">
        <v>0</v>
      </c>
      <c r="N13" s="34">
        <v>0</v>
      </c>
      <c r="O13" s="34">
        <v>3255</v>
      </c>
      <c r="P13" s="31"/>
      <c r="Q13" s="35" t="s">
        <v>80</v>
      </c>
      <c r="R13" s="35" t="s">
        <v>81</v>
      </c>
      <c r="S13" s="34">
        <v>1092</v>
      </c>
      <c r="T13" s="36">
        <v>16.95</v>
      </c>
      <c r="U13" s="36">
        <v>488482.2</v>
      </c>
      <c r="V13" s="36">
        <v>481929.85</v>
      </c>
      <c r="W13" s="37">
        <f>V13/U13*100</f>
        <v>98.65863075461091</v>
      </c>
      <c r="X13" s="36">
        <f>V13-Y13</f>
        <v>17318.37141793064</v>
      </c>
      <c r="Y13" s="36">
        <f>Z13*1.18</f>
        <v>464611.47858206934</v>
      </c>
      <c r="Z13" s="36">
        <f>AA13+AG13+AR13+AZ13+BE13+BF13</f>
        <v>393738.5411712452</v>
      </c>
      <c r="AA13" s="38">
        <f>AE13+AF13</f>
        <v>53094.34387531485</v>
      </c>
      <c r="AB13" s="38">
        <v>1.03</v>
      </c>
      <c r="AC13" s="38">
        <f>3335677.04/79.4*AB13</f>
        <v>43271.37721914357</v>
      </c>
      <c r="AD13" s="38">
        <f>529475.59/3335677.04*AC13</f>
        <v>6868.512061712845</v>
      </c>
      <c r="AE13" s="38">
        <f>AC13+AD13</f>
        <v>50139.88928085641</v>
      </c>
      <c r="AF13" s="38">
        <f>227751.16/79.4*AB13</f>
        <v>2954.4545944584384</v>
      </c>
      <c r="AG13" s="38">
        <f>AI13+AJ13+AK13+AL13+AM13+AO13+AP13+AQ13</f>
        <v>170590.8974156129</v>
      </c>
      <c r="AH13" s="38">
        <f>1.081+0.02</f>
        <v>1.101</v>
      </c>
      <c r="AI13" s="38">
        <f>4838591.15/63.3*AH13</f>
        <v>84159.38161374409</v>
      </c>
      <c r="AJ13" s="38">
        <f>965412.23/4838591.15*AI13</f>
        <v>16791.76722322275</v>
      </c>
      <c r="AK13" s="39">
        <v>37479.19</v>
      </c>
      <c r="AL13" s="40">
        <f>123624.91/74.3*(AH13+AN13)</f>
        <v>2115.6913878054625</v>
      </c>
      <c r="AM13" s="40"/>
      <c r="AN13" s="36">
        <f>11/206520.5*D13</f>
        <v>0.17055498122462417</v>
      </c>
      <c r="AO13" s="36">
        <f>1348323.71/11*AN13</f>
        <v>20905.75682216051</v>
      </c>
      <c r="AP13" s="38">
        <f>277648.69/1348323.71*AO13</f>
        <v>4304.942464544682</v>
      </c>
      <c r="AQ13" s="38">
        <f>311781.26/206520.5*D13</f>
        <v>4834.1679041354255</v>
      </c>
      <c r="AR13" s="38">
        <f>AS13+AT13+AU13+AV13+AW13+AX13+AY13</f>
        <v>17536.705443605446</v>
      </c>
      <c r="AS13" s="38">
        <f>475*2.6*9</f>
        <v>11115</v>
      </c>
      <c r="AT13" s="40">
        <f>145379.72/206520.5*D13</f>
        <v>2254.112310458284</v>
      </c>
      <c r="AU13" s="38"/>
      <c r="AV13" s="38">
        <f>20083.92/4341*I13</f>
        <v>370.1252246026261</v>
      </c>
      <c r="AW13" s="38">
        <f>46783.46/1064*I13</f>
        <v>3517.5533834586463</v>
      </c>
      <c r="AX13" s="38"/>
      <c r="AY13" s="38">
        <f>18053.18/206520.5*D13</f>
        <v>279.91452508588736</v>
      </c>
      <c r="AZ13" s="41">
        <f>BB13+BC13+BD13</f>
        <v>89545.06339512058</v>
      </c>
      <c r="BA13" s="41">
        <f>37.6/206520.5*D13</f>
        <v>0.5829879358223518</v>
      </c>
      <c r="BB13" s="38">
        <f>4053113.48/37.6*BA13</f>
        <v>62843.517589333744</v>
      </c>
      <c r="BC13" s="38">
        <f>887989.5/4053113.48*BB13</f>
        <v>13768.275681833038</v>
      </c>
      <c r="BD13" s="38">
        <f>834135.54/37.6*BA13</f>
        <v>12933.270123953796</v>
      </c>
      <c r="BE13" s="38">
        <f>3513152.23/206520.5*D13</f>
        <v>54471.41932971787</v>
      </c>
      <c r="BF13" s="40">
        <f>548217.52/206520.5*D13</f>
        <v>8500.111711873638</v>
      </c>
      <c r="BG13" s="38">
        <v>82862.37</v>
      </c>
      <c r="BH13" s="38">
        <v>2120.6</v>
      </c>
      <c r="BI13" s="38">
        <v>1.18</v>
      </c>
      <c r="BJ13" s="38">
        <v>20931.98</v>
      </c>
      <c r="BK13" s="38">
        <v>19704.86</v>
      </c>
      <c r="BL13" s="41"/>
      <c r="BM13" s="41"/>
      <c r="BN13" s="42"/>
      <c r="BO13" s="43"/>
      <c r="BP13" s="43"/>
      <c r="BQ13" s="43"/>
      <c r="BR13" s="43"/>
      <c r="BS13" s="29">
        <v>0.85</v>
      </c>
      <c r="BT13" s="29">
        <v>7829.04</v>
      </c>
      <c r="BU13" s="44">
        <v>8265.09</v>
      </c>
    </row>
    <row r="14" spans="1:73" ht="9.75" customHeight="1">
      <c r="A14" s="27">
        <v>29</v>
      </c>
      <c r="B14" s="27" t="s">
        <v>79</v>
      </c>
      <c r="C14" s="28">
        <v>18</v>
      </c>
      <c r="D14" s="29">
        <v>2890.4</v>
      </c>
      <c r="E14" s="30">
        <v>1969</v>
      </c>
      <c r="F14" s="31">
        <v>4</v>
      </c>
      <c r="G14" s="31">
        <v>5</v>
      </c>
      <c r="H14" s="31"/>
      <c r="I14" s="31">
        <v>80</v>
      </c>
      <c r="J14" s="31"/>
      <c r="K14" s="32">
        <v>390.5</v>
      </c>
      <c r="L14" s="33">
        <v>862.6</v>
      </c>
      <c r="M14" s="34">
        <v>0</v>
      </c>
      <c r="N14" s="34">
        <v>0</v>
      </c>
      <c r="O14" s="34">
        <v>2426.4</v>
      </c>
      <c r="P14" s="31"/>
      <c r="Q14" s="35" t="s">
        <v>80</v>
      </c>
      <c r="R14" s="35" t="s">
        <v>81</v>
      </c>
      <c r="S14" s="34">
        <v>871</v>
      </c>
      <c r="T14" s="36">
        <v>16.95</v>
      </c>
      <c r="U14" s="36">
        <v>440932.5</v>
      </c>
      <c r="V14" s="36">
        <v>437124.62</v>
      </c>
      <c r="W14" s="37">
        <f>V14/U14*100</f>
        <v>99.13640296417252</v>
      </c>
      <c r="X14" s="36">
        <f>V14-Y14</f>
        <v>23417.63108726748</v>
      </c>
      <c r="Y14" s="36">
        <f>Z14*1.18</f>
        <v>413706.9889127325</v>
      </c>
      <c r="Z14" s="36">
        <f>AA14+AG14+AR14+AZ14+BE14+BF14</f>
        <v>350599.1431463835</v>
      </c>
      <c r="AA14" s="38">
        <f>AE14+AF14</f>
        <v>53094.34387531485</v>
      </c>
      <c r="AB14" s="38">
        <v>1.03</v>
      </c>
      <c r="AC14" s="38">
        <f>3335677.04/79.4*AB14</f>
        <v>43271.37721914357</v>
      </c>
      <c r="AD14" s="38">
        <f>529475.59/3335677.04*AC14</f>
        <v>6868.512061712845</v>
      </c>
      <c r="AE14" s="38">
        <f>AC14+AD14</f>
        <v>50139.88928085641</v>
      </c>
      <c r="AF14" s="38">
        <f>227751.16/79.4*AB14</f>
        <v>2954.4545944584384</v>
      </c>
      <c r="AG14" s="38">
        <f>AI14+AJ14+AK14+AL14+AM14+AO14+AP14+AQ14</f>
        <v>130072.29419121398</v>
      </c>
      <c r="AH14" s="38">
        <f>1.006+0.02</f>
        <v>1.026</v>
      </c>
      <c r="AI14" s="38">
        <f>4838591.15/63.3*AH14</f>
        <v>78426.45371090049</v>
      </c>
      <c r="AJ14" s="38">
        <f>965412.23/4838591.15*AI14</f>
        <v>15647.913870142182</v>
      </c>
      <c r="AK14" s="39">
        <v>6914.42</v>
      </c>
      <c r="AL14" s="40">
        <f>123624.91/74.3*(AH14+AN14)</f>
        <v>1963.277970089578</v>
      </c>
      <c r="AM14" s="40"/>
      <c r="AN14" s="36">
        <f>11/206520.5*D14</f>
        <v>0.15395275529547914</v>
      </c>
      <c r="AO14" s="36">
        <f>1348323.71/11*AN14</f>
        <v>18870.74092588387</v>
      </c>
      <c r="AP14" s="38">
        <f>277648.69/1348323.71*AO14</f>
        <v>3885.889166334577</v>
      </c>
      <c r="AQ14" s="38">
        <f>311781.26/206520.5*D14</f>
        <v>4363.598547863287</v>
      </c>
      <c r="AR14" s="38">
        <f>AS14+AT14+AU14+AV14+AW14+AX14+AY14</f>
        <v>29762.237268145866</v>
      </c>
      <c r="AS14" s="38">
        <f>1008*2.6*9</f>
        <v>23587.2</v>
      </c>
      <c r="AT14" s="40">
        <f>145379.72/206520.5*D14</f>
        <v>2034.6916780077524</v>
      </c>
      <c r="AU14" s="38"/>
      <c r="AV14" s="38">
        <f>20083.92/4341*I14</f>
        <v>370.1252246026261</v>
      </c>
      <c r="AW14" s="38">
        <f>46783.46/1064*I14</f>
        <v>3517.5533834586463</v>
      </c>
      <c r="AX14" s="38"/>
      <c r="AY14" s="38">
        <f>18053.18/206520.5*D14</f>
        <v>252.66698207683984</v>
      </c>
      <c r="AZ14" s="41">
        <f>BB14+BC14+BD14</f>
        <v>80828.53478568955</v>
      </c>
      <c r="BA14" s="41">
        <f>37.6/206520.5*D14</f>
        <v>0.5262385090100015</v>
      </c>
      <c r="BB14" s="38">
        <f>4053113.48/37.6*BA14</f>
        <v>56726.180706477084</v>
      </c>
      <c r="BC14" s="38">
        <f>887989.5/4053113.48*BB14</f>
        <v>12428.039108950443</v>
      </c>
      <c r="BD14" s="38">
        <f>834135.54/37.6*BA14</f>
        <v>11674.314970262034</v>
      </c>
      <c r="BE14" s="38">
        <f>3513152.23/206520.5*D14</f>
        <v>49169.04232554154</v>
      </c>
      <c r="BF14" s="40">
        <f>548217.52/206520.5*D14</f>
        <v>7672.690700477677</v>
      </c>
      <c r="BG14" s="38">
        <v>72411.45</v>
      </c>
      <c r="BH14" s="38">
        <v>2027.4</v>
      </c>
      <c r="BI14" s="38">
        <v>1.18</v>
      </c>
      <c r="BJ14" s="38">
        <v>19436.55</v>
      </c>
      <c r="BK14" s="38">
        <v>19243.34</v>
      </c>
      <c r="BL14" s="41"/>
      <c r="BM14" s="41"/>
      <c r="BN14" s="42"/>
      <c r="BO14" s="43"/>
      <c r="BP14" s="43"/>
      <c r="BQ14" s="43"/>
      <c r="BR14" s="43"/>
      <c r="BS14" s="29">
        <v>0.85</v>
      </c>
      <c r="BT14" s="29">
        <v>5070.65</v>
      </c>
      <c r="BU14" s="44">
        <v>4619.88</v>
      </c>
    </row>
    <row r="15" spans="1:73" ht="9.75" customHeight="1">
      <c r="A15" s="27">
        <v>30</v>
      </c>
      <c r="B15" s="27" t="s">
        <v>79</v>
      </c>
      <c r="C15" s="28">
        <v>19</v>
      </c>
      <c r="D15" s="29">
        <v>3175.4</v>
      </c>
      <c r="E15" s="30">
        <v>1963</v>
      </c>
      <c r="F15" s="31">
        <v>4</v>
      </c>
      <c r="G15" s="31">
        <v>5</v>
      </c>
      <c r="H15" s="31"/>
      <c r="I15" s="31">
        <v>80</v>
      </c>
      <c r="J15" s="31"/>
      <c r="K15" s="32">
        <v>305.6</v>
      </c>
      <c r="L15" s="33">
        <v>995</v>
      </c>
      <c r="M15" s="34">
        <v>0</v>
      </c>
      <c r="N15" s="34">
        <v>0</v>
      </c>
      <c r="O15" s="34">
        <v>2626</v>
      </c>
      <c r="P15" s="31"/>
      <c r="Q15" s="35" t="s">
        <v>80</v>
      </c>
      <c r="R15" s="35" t="s">
        <v>81</v>
      </c>
      <c r="S15" s="34">
        <v>1072</v>
      </c>
      <c r="T15" s="36">
        <v>16.95</v>
      </c>
      <c r="U15" s="36">
        <v>484409.43</v>
      </c>
      <c r="V15" s="36">
        <v>459434.61</v>
      </c>
      <c r="W15" s="37">
        <f>V15/U15*100</f>
        <v>94.8442746046459</v>
      </c>
      <c r="X15" s="36">
        <f>V15-Y15</f>
        <v>-43027.95858161856</v>
      </c>
      <c r="Y15" s="36">
        <f>Z15*1.18</f>
        <v>502462.56858161854</v>
      </c>
      <c r="Z15" s="36">
        <f>AA15+AG15+AR15+AZ15+BE15+BF15</f>
        <v>425815.73608611745</v>
      </c>
      <c r="AA15" s="38">
        <f>AE15+AF15</f>
        <v>50516.9485415617</v>
      </c>
      <c r="AB15" s="38">
        <v>0.98</v>
      </c>
      <c r="AC15" s="38">
        <f>3335677.04/79.4*AB15</f>
        <v>41170.82492695213</v>
      </c>
      <c r="AD15" s="38">
        <f>529475.59/3335677.04*AC15</f>
        <v>6535.089146095716</v>
      </c>
      <c r="AE15" s="38">
        <f>AC15+AD15</f>
        <v>47705.91407304785</v>
      </c>
      <c r="AF15" s="38">
        <f>227751.16/79.4*AB15</f>
        <v>2811.034468513854</v>
      </c>
      <c r="AG15" s="38">
        <f>AI15+AJ15+AK15+AL15+AM15+AO15+AP15+AQ15</f>
        <v>189544.49594238712</v>
      </c>
      <c r="AH15" s="38">
        <f>1.073+0.018</f>
        <v>1.091</v>
      </c>
      <c r="AI15" s="38">
        <f>4838591.15/63.3*AH15</f>
        <v>83394.99122669827</v>
      </c>
      <c r="AJ15" s="38">
        <f>965412.23/4838591.15*AI15</f>
        <v>16639.25344281201</v>
      </c>
      <c r="AK15" s="39">
        <v>50409.03</v>
      </c>
      <c r="AL15" s="40">
        <f>123624.91/74.3*(AH15+AN15)</f>
        <v>2096.6865372985194</v>
      </c>
      <c r="AM15" s="40">
        <v>7210.19</v>
      </c>
      <c r="AN15" s="36">
        <f>11/206520.5*D15</f>
        <v>0.16913284637602563</v>
      </c>
      <c r="AO15" s="36">
        <f>1348323.71/11*AN15</f>
        <v>20731.438809871175</v>
      </c>
      <c r="AP15" s="38">
        <f>277648.69/1348323.71*AO15</f>
        <v>4269.046657479524</v>
      </c>
      <c r="AQ15" s="38">
        <f>311781.26/206520.5*D15</f>
        <v>4793.85926822761</v>
      </c>
      <c r="AR15" s="38">
        <f>AS15+AT15+AU15+AV15+AW15+AX15+AY15</f>
        <v>34509.4229302547</v>
      </c>
      <c r="AS15" s="38">
        <f>1152*2.6*9</f>
        <v>26956.800000000003</v>
      </c>
      <c r="AT15" s="40">
        <f>145379.72/206520.5*D15</f>
        <v>2235.3168953590566</v>
      </c>
      <c r="AU15" s="38"/>
      <c r="AV15" s="38">
        <f>20083.92/4341*I15</f>
        <v>370.1252246026261</v>
      </c>
      <c r="AW15" s="38">
        <f>46783.46/1064*I15</f>
        <v>3517.5533834586463</v>
      </c>
      <c r="AX15" s="38">
        <f>21076.61/58093.7*D15</f>
        <v>1152.046906876305</v>
      </c>
      <c r="AY15" s="38">
        <f>18053.18/206520.5*D15</f>
        <v>277.5805199580671</v>
      </c>
      <c r="AZ15" s="41">
        <f>BB15+BC15+BD15</f>
        <v>88798.4117625514</v>
      </c>
      <c r="BA15" s="41">
        <f>37.6/206520.5*D15</f>
        <v>0.5781268203398694</v>
      </c>
      <c r="BB15" s="38">
        <f>4053113.48/37.6*BA15</f>
        <v>62319.51086885805</v>
      </c>
      <c r="BC15" s="38">
        <f>887989.5/4053113.48*BB15</f>
        <v>13653.471971547617</v>
      </c>
      <c r="BD15" s="38">
        <f>834135.54/37.6*BA15</f>
        <v>12825.428922145744</v>
      </c>
      <c r="BE15" s="38">
        <f>3513152.23/206520.5*D15</f>
        <v>54017.221492016535</v>
      </c>
      <c r="BF15" s="40">
        <f>548217.52/206520.5*D15</f>
        <v>8429.235417345977</v>
      </c>
      <c r="BG15" s="38">
        <v>80858.26</v>
      </c>
      <c r="BH15" s="38">
        <v>2461.7</v>
      </c>
      <c r="BI15" s="38">
        <v>1.18</v>
      </c>
      <c r="BJ15" s="38">
        <v>25340.04</v>
      </c>
      <c r="BK15" s="38">
        <v>24241.87</v>
      </c>
      <c r="BL15" s="41"/>
      <c r="BM15" s="41"/>
      <c r="BN15" s="42"/>
      <c r="BO15" s="43"/>
      <c r="BP15" s="43"/>
      <c r="BQ15" s="43"/>
      <c r="BR15" s="43"/>
      <c r="BS15" s="29">
        <v>0.85</v>
      </c>
      <c r="BT15" s="29">
        <v>3604.23</v>
      </c>
      <c r="BU15" s="44">
        <v>3099.23</v>
      </c>
    </row>
    <row r="16" spans="1:73" ht="10.5" customHeight="1">
      <c r="A16" s="27">
        <v>31</v>
      </c>
      <c r="B16" s="27" t="s">
        <v>79</v>
      </c>
      <c r="C16" s="28">
        <v>21</v>
      </c>
      <c r="D16" s="29">
        <v>3202.3</v>
      </c>
      <c r="E16" s="30">
        <v>1963</v>
      </c>
      <c r="F16" s="31">
        <v>4</v>
      </c>
      <c r="G16" s="31">
        <v>5</v>
      </c>
      <c r="H16" s="31"/>
      <c r="I16" s="31">
        <v>80</v>
      </c>
      <c r="J16" s="31"/>
      <c r="K16" s="32">
        <v>300</v>
      </c>
      <c r="L16" s="33">
        <f>257+537</f>
        <v>794</v>
      </c>
      <c r="M16" s="34">
        <v>0</v>
      </c>
      <c r="N16" s="34">
        <v>0</v>
      </c>
      <c r="O16" s="34">
        <v>2166</v>
      </c>
      <c r="P16" s="31"/>
      <c r="Q16" s="35" t="s">
        <v>80</v>
      </c>
      <c r="R16" s="35" t="s">
        <v>81</v>
      </c>
      <c r="S16" s="34">
        <v>1106</v>
      </c>
      <c r="T16" s="36">
        <v>16.95</v>
      </c>
      <c r="U16" s="36">
        <v>488512.8</v>
      </c>
      <c r="V16" s="36">
        <v>472974</v>
      </c>
      <c r="W16" s="37">
        <f>V16/U16*100</f>
        <v>96.81916215910822</v>
      </c>
      <c r="X16" s="36">
        <f>V16-Y16</f>
        <v>14640.645438768843</v>
      </c>
      <c r="Y16" s="36">
        <f>Z16*1.18</f>
        <v>458333.35456123116</v>
      </c>
      <c r="Z16" s="36">
        <f>AA16+AG16+AR16+AZ16+BE16+BF16</f>
        <v>388418.09708578914</v>
      </c>
      <c r="AA16" s="38">
        <f>AE16+AF16</f>
        <v>44331.19974055415</v>
      </c>
      <c r="AB16" s="38">
        <v>0.86</v>
      </c>
      <c r="AC16" s="38">
        <f>3335677.04/79.4*AB16</f>
        <v>36129.49942569269</v>
      </c>
      <c r="AD16" s="38">
        <f>529475.59/3335677.04*AC16</f>
        <v>5734.874148614608</v>
      </c>
      <c r="AE16" s="38">
        <f>AC16+AD16</f>
        <v>41864.3735743073</v>
      </c>
      <c r="AF16" s="38">
        <f>227751.16/79.4*AB16</f>
        <v>2466.8261662468512</v>
      </c>
      <c r="AG16" s="38">
        <f>AI16+AJ16+AK16+AL16+AM16+AO16+AP16+AQ16</f>
        <v>158182.11315641538</v>
      </c>
      <c r="AH16" s="38">
        <f>1.081+0.018</f>
        <v>1.099</v>
      </c>
      <c r="AI16" s="38">
        <f>4838591.15/63.3*AH16</f>
        <v>84006.50353633492</v>
      </c>
      <c r="AJ16" s="38">
        <f>965412.23/4838591.15*AI16</f>
        <v>16761.2644671406</v>
      </c>
      <c r="AK16" s="39">
        <v>25255.22</v>
      </c>
      <c r="AL16" s="40">
        <f>123624.91/74.3*(AH16+AN16)</f>
        <v>2112.381389400642</v>
      </c>
      <c r="AM16" s="40"/>
      <c r="AN16" s="36">
        <f>11/206520.5*D16</f>
        <v>0.1705656339201193</v>
      </c>
      <c r="AO16" s="36">
        <f>1348323.71/11*AN16</f>
        <v>20907.062575061555</v>
      </c>
      <c r="AP16" s="38">
        <f>277648.69/1348323.71*AO16</f>
        <v>4305.211346994608</v>
      </c>
      <c r="AQ16" s="38">
        <f>311781.26/206520.5*D16</f>
        <v>4834.46984148305</v>
      </c>
      <c r="AR16" s="38">
        <f>AS16+AT16+AU16+AV16+AW16+AX16+AY16</f>
        <v>33378.66371641614</v>
      </c>
      <c r="AS16" s="38">
        <f>1152*2.6*9</f>
        <v>26956.800000000003</v>
      </c>
      <c r="AT16" s="40">
        <f>145379.72/206520.5*D16</f>
        <v>2254.2531000844956</v>
      </c>
      <c r="AU16" s="38"/>
      <c r="AV16" s="38">
        <f>20083.92/4341*I16</f>
        <v>370.1252246026261</v>
      </c>
      <c r="AW16" s="38">
        <f>46783.46/1064*I16</f>
        <v>3517.5533834586463</v>
      </c>
      <c r="AX16" s="38"/>
      <c r="AY16" s="38">
        <f>18053.18/206520.5*D16</f>
        <v>279.93200827036543</v>
      </c>
      <c r="AZ16" s="41">
        <f>BB16+BC16+BD16</f>
        <v>89550.6562912447</v>
      </c>
      <c r="BA16" s="41">
        <f>37.6/206520.5*D16</f>
        <v>0.5830243486724078</v>
      </c>
      <c r="BB16" s="38">
        <f>4053113.48/37.6*BA16</f>
        <v>62847.44273330735</v>
      </c>
      <c r="BC16" s="38">
        <f>887989.5/4053113.48*BB16</f>
        <v>13769.13563471907</v>
      </c>
      <c r="BD16" s="38">
        <f>834135.54/37.6*BA16</f>
        <v>12934.077923218276</v>
      </c>
      <c r="BE16" s="38">
        <f>3513152.23/206520.5*D16</f>
        <v>54474.8215607119</v>
      </c>
      <c r="BF16" s="40">
        <f>548217.52/206520.5*D16</f>
        <v>8500.64262044688</v>
      </c>
      <c r="BG16" s="38">
        <v>79883.29</v>
      </c>
      <c r="BH16" s="38">
        <v>1911.9</v>
      </c>
      <c r="BI16" s="38">
        <v>1.18</v>
      </c>
      <c r="BJ16" s="38">
        <v>18866.27</v>
      </c>
      <c r="BK16" s="38">
        <v>17383.73</v>
      </c>
      <c r="BL16" s="41"/>
      <c r="BM16" s="41"/>
      <c r="BN16" s="42"/>
      <c r="BO16" s="43"/>
      <c r="BP16" s="43"/>
      <c r="BQ16" s="43"/>
      <c r="BR16" s="43"/>
      <c r="BS16" s="29">
        <v>0.85</v>
      </c>
      <c r="BT16" s="29">
        <v>7240.56</v>
      </c>
      <c r="BU16" s="44">
        <v>7592.17</v>
      </c>
    </row>
    <row r="17" spans="1:73" ht="10.5" customHeight="1">
      <c r="A17" s="27">
        <v>32</v>
      </c>
      <c r="B17" s="27" t="s">
        <v>79</v>
      </c>
      <c r="C17" s="28">
        <v>22</v>
      </c>
      <c r="D17" s="29">
        <v>8419.2</v>
      </c>
      <c r="E17" s="30">
        <v>1975</v>
      </c>
      <c r="F17" s="31">
        <v>4</v>
      </c>
      <c r="G17" s="31">
        <v>9</v>
      </c>
      <c r="H17" s="31">
        <v>4</v>
      </c>
      <c r="I17" s="31">
        <v>197</v>
      </c>
      <c r="J17" s="31"/>
      <c r="K17" s="32">
        <v>648</v>
      </c>
      <c r="L17" s="33">
        <f>3925.4</f>
        <v>3925.4</v>
      </c>
      <c r="M17" s="34">
        <v>0</v>
      </c>
      <c r="N17" s="34">
        <v>1334.6</v>
      </c>
      <c r="O17" s="34">
        <v>2550</v>
      </c>
      <c r="P17" s="31"/>
      <c r="Q17" s="35" t="s">
        <v>80</v>
      </c>
      <c r="R17" s="35" t="s">
        <v>84</v>
      </c>
      <c r="S17" s="34">
        <v>1540</v>
      </c>
      <c r="T17" s="36">
        <v>23.21</v>
      </c>
      <c r="U17" s="36">
        <v>1758691.08</v>
      </c>
      <c r="V17" s="36">
        <v>1726332.63</v>
      </c>
      <c r="W17" s="37">
        <f>V17/U17*100</f>
        <v>98.1600833501697</v>
      </c>
      <c r="X17" s="36">
        <f>V17-Y17</f>
        <v>-148874.31256727153</v>
      </c>
      <c r="Y17" s="36">
        <f>Z17*1.18</f>
        <v>1875206.9425672714</v>
      </c>
      <c r="Z17" s="36">
        <f>AA17+AG17+AR17+AZ17+BE17+BF17</f>
        <v>1589158.4259044675</v>
      </c>
      <c r="AA17" s="38">
        <f>AE17+AF17</f>
        <v>136601.95268891685</v>
      </c>
      <c r="AB17" s="38">
        <v>2.65</v>
      </c>
      <c r="AC17" s="38">
        <f>3335677.04/79.4*AB17</f>
        <v>111329.27148614607</v>
      </c>
      <c r="AD17" s="38">
        <f>529475.59/3335677.04*AC17</f>
        <v>17671.414527707806</v>
      </c>
      <c r="AE17" s="38">
        <f>AC17+AD17</f>
        <v>129000.68601385388</v>
      </c>
      <c r="AF17" s="38">
        <f>227751.16/79.4*AB17</f>
        <v>7601.266675062971</v>
      </c>
      <c r="AG17" s="38">
        <f>AI17+AJ17+AK17+AL17+AM17+AO17+AP17+AQ17</f>
        <v>457477.469147184</v>
      </c>
      <c r="AH17" s="38">
        <f>3.091+0.02</f>
        <v>3.111</v>
      </c>
      <c r="AI17" s="38">
        <f>4838591.15/63.3*AH17</f>
        <v>237801.84940995264</v>
      </c>
      <c r="AJ17" s="38">
        <f>965412.23/4838591.15*AI17</f>
        <v>47447.037085781994</v>
      </c>
      <c r="AK17" s="39">
        <v>87309.97</v>
      </c>
      <c r="AL17" s="40">
        <f>123624.91/74.3*(AH17+AN17)</f>
        <v>5922.408331432658</v>
      </c>
      <c r="AM17" s="40"/>
      <c r="AN17" s="36">
        <f>11/206520.5*D17</f>
        <v>0.44843586956258585</v>
      </c>
      <c r="AO17" s="36">
        <f>1348323.71/11*AN17</f>
        <v>54966.97412233653</v>
      </c>
      <c r="AP17" s="38">
        <f>277648.69/1348323.71*AO17</f>
        <v>11318.87561209662</v>
      </c>
      <c r="AQ17" s="38">
        <f>311781.26/206520.5*D17</f>
        <v>12710.354585583516</v>
      </c>
      <c r="AR17" s="38">
        <f>AS17+AT17+AU17+AV17+AW17+AX17+AY17</f>
        <v>594071.005604369</v>
      </c>
      <c r="AS17" s="38">
        <f>10584*2.6*9</f>
        <v>247665.6</v>
      </c>
      <c r="AT17" s="40">
        <f>145379.72/206520.5*D17</f>
        <v>5926.680104996842</v>
      </c>
      <c r="AU17" s="38">
        <f>84707.83*4</f>
        <v>338831.32</v>
      </c>
      <c r="AV17" s="38">
        <f>20083.92/4341*I17</f>
        <v>911.4333655839667</v>
      </c>
      <c r="AW17" s="38"/>
      <c r="AX17" s="38"/>
      <c r="AY17" s="38">
        <f>18053.18/206520.5*D17</f>
        <v>735.9721337881712</v>
      </c>
      <c r="AZ17" s="41">
        <f>BB17+BC17+BD17</f>
        <v>235438.55524068556</v>
      </c>
      <c r="BA17" s="41">
        <f>37.6/206520.5*D17</f>
        <v>1.5328353359593843</v>
      </c>
      <c r="BB17" s="38">
        <f>4053113.48/37.6*BA17</f>
        <v>165232.86071269438</v>
      </c>
      <c r="BC17" s="38">
        <f>887989.5/4053113.48*BB17</f>
        <v>36200.57669044961</v>
      </c>
      <c r="BD17" s="38">
        <f>834135.54/37.6*BA17</f>
        <v>34005.117837541555</v>
      </c>
      <c r="BE17" s="38">
        <f>3513152.23/206520.5*D17</f>
        <v>143220.3159241625</v>
      </c>
      <c r="BF17" s="40">
        <f>548217.52/206520.5*D17</f>
        <v>22349.12729914948</v>
      </c>
      <c r="BG17" s="38">
        <v>216999.07</v>
      </c>
      <c r="BH17" s="38">
        <v>6681.9</v>
      </c>
      <c r="BI17" s="38">
        <v>1.18</v>
      </c>
      <c r="BJ17" s="38">
        <v>69190.33</v>
      </c>
      <c r="BK17" s="38">
        <v>68023.72</v>
      </c>
      <c r="BL17" s="41"/>
      <c r="BM17" s="41"/>
      <c r="BN17" s="42"/>
      <c r="BO17" s="43"/>
      <c r="BP17" s="43"/>
      <c r="BQ17" s="43"/>
      <c r="BR17" s="43"/>
      <c r="BS17" s="29">
        <v>1.06</v>
      </c>
      <c r="BT17" s="29">
        <v>11856.64</v>
      </c>
      <c r="BU17" s="44">
        <v>10830.14</v>
      </c>
    </row>
    <row r="18" spans="1:73" ht="10.5" customHeight="1">
      <c r="A18" s="27">
        <v>33</v>
      </c>
      <c r="B18" s="27" t="s">
        <v>79</v>
      </c>
      <c r="C18" s="28">
        <v>23</v>
      </c>
      <c r="D18" s="29">
        <v>2565.9</v>
      </c>
      <c r="E18" s="30">
        <v>1964</v>
      </c>
      <c r="F18" s="31">
        <v>4</v>
      </c>
      <c r="G18" s="31">
        <v>5</v>
      </c>
      <c r="H18" s="31"/>
      <c r="I18" s="31">
        <v>64</v>
      </c>
      <c r="J18" s="31"/>
      <c r="K18" s="32">
        <v>316.8</v>
      </c>
      <c r="L18" s="33">
        <f>149+17+0</f>
        <v>166</v>
      </c>
      <c r="M18" s="34">
        <v>2416</v>
      </c>
      <c r="N18" s="34">
        <v>374</v>
      </c>
      <c r="O18" s="34">
        <v>1620</v>
      </c>
      <c r="P18" s="31"/>
      <c r="Q18" s="35" t="s">
        <v>80</v>
      </c>
      <c r="R18" s="35" t="s">
        <v>81</v>
      </c>
      <c r="S18" s="34">
        <v>1065</v>
      </c>
      <c r="T18" s="36">
        <v>16.95</v>
      </c>
      <c r="U18" s="36">
        <v>391429.71</v>
      </c>
      <c r="V18" s="36">
        <v>370709.8</v>
      </c>
      <c r="W18" s="37">
        <f>V18/U18*100</f>
        <v>94.70660773296947</v>
      </c>
      <c r="X18" s="36">
        <f>V18-Y18</f>
        <v>-89958.17898252548</v>
      </c>
      <c r="Y18" s="36">
        <f>Z18*1.18</f>
        <v>460667.97898252547</v>
      </c>
      <c r="Z18" s="36">
        <f>AA18+AG18+AR18+AZ18+BE18+BF18</f>
        <v>390396.59235807246</v>
      </c>
      <c r="AA18" s="38">
        <f>AE18+AF18</f>
        <v>85054.04601385389</v>
      </c>
      <c r="AB18" s="38">
        <v>1.65</v>
      </c>
      <c r="AC18" s="38">
        <f>3335677.04/79.4*AB18</f>
        <v>69318.22564231737</v>
      </c>
      <c r="AD18" s="38">
        <f>529475.59/3335677.04*AC18</f>
        <v>11002.956215365237</v>
      </c>
      <c r="AE18" s="38">
        <f>AC18+AD18</f>
        <v>80321.1818576826</v>
      </c>
      <c r="AF18" s="38">
        <f>227751.16/79.4*AB18</f>
        <v>4732.864156171284</v>
      </c>
      <c r="AG18" s="38">
        <f>AI18+AJ18+AK18+AL18+AM18+AO18+AP18+AQ18</f>
        <v>154826.64948611872</v>
      </c>
      <c r="AH18" s="38">
        <f>1.032+0.018</f>
        <v>1.05</v>
      </c>
      <c r="AI18" s="38">
        <f>4838591.15/63.3*AH18</f>
        <v>80260.99063981044</v>
      </c>
      <c r="AJ18" s="38">
        <f>965412.23/4838591.15*AI18</f>
        <v>16013.946943127963</v>
      </c>
      <c r="AK18" s="39">
        <v>32501.77</v>
      </c>
      <c r="AL18" s="40">
        <f>123624.91/74.3*(AH18+AN18)</f>
        <v>1974.452466567531</v>
      </c>
      <c r="AM18" s="40"/>
      <c r="AN18" s="36">
        <f>11/206520.5*D18</f>
        <v>0.13666875685464638</v>
      </c>
      <c r="AO18" s="36">
        <f>1348323.71/11*AN18</f>
        <v>16752.15684394043</v>
      </c>
      <c r="AP18" s="38">
        <f>277648.69/1348323.71*AO18</f>
        <v>3449.62739132919</v>
      </c>
      <c r="AQ18" s="38">
        <f>311781.26/206520.5*D18</f>
        <v>3873.7052013432085</v>
      </c>
      <c r="AR18" s="38">
        <f>AS18+AT18+AU18+AV18+AW18+AX18+AY18</f>
        <v>28301.621955642226</v>
      </c>
      <c r="AS18" s="38">
        <f>950*2.6*9</f>
        <v>22230</v>
      </c>
      <c r="AT18" s="40">
        <f>145379.72/206520.5*D18</f>
        <v>1806.2605094796886</v>
      </c>
      <c r="AU18" s="38"/>
      <c r="AV18" s="38">
        <f>20083.92/4341*I18</f>
        <v>296.1001796821009</v>
      </c>
      <c r="AW18" s="38">
        <f>46783.46/1064*I18</f>
        <v>2814.042706766917</v>
      </c>
      <c r="AX18" s="38">
        <f>21076.61/58093.7*D18</f>
        <v>930.9180444523245</v>
      </c>
      <c r="AY18" s="38">
        <f>18053.18/206520.5*D18</f>
        <v>224.30051526119684</v>
      </c>
      <c r="AZ18" s="41">
        <f>BB18+BC18+BD18</f>
        <v>71754.06082431527</v>
      </c>
      <c r="BA18" s="41">
        <f>37.6/206520.5*D18</f>
        <v>0.467158659794064</v>
      </c>
      <c r="BB18" s="38">
        <f>4053113.48/37.6*BA18</f>
        <v>50357.63460930997</v>
      </c>
      <c r="BC18" s="38">
        <f>887989.5/4053113.48*BB18</f>
        <v>11032.765551361728</v>
      </c>
      <c r="BD18" s="38">
        <f>834135.54/37.6*BA18</f>
        <v>10363.66066364356</v>
      </c>
      <c r="BE18" s="38">
        <f>3513152.23/206520.5*D18</f>
        <v>43648.922537748076</v>
      </c>
      <c r="BF18" s="40">
        <f>548217.52/206520.5*D18</f>
        <v>6811.291540394295</v>
      </c>
      <c r="BG18" s="38">
        <v>63026.4</v>
      </c>
      <c r="BH18" s="38">
        <v>1769</v>
      </c>
      <c r="BI18" s="38">
        <v>1.18</v>
      </c>
      <c r="BJ18" s="38">
        <v>17659.11</v>
      </c>
      <c r="BK18" s="38">
        <v>16857.24</v>
      </c>
      <c r="BL18" s="41"/>
      <c r="BM18" s="41"/>
      <c r="BN18" s="42"/>
      <c r="BO18" s="43"/>
      <c r="BP18" s="43"/>
      <c r="BQ18" s="43"/>
      <c r="BR18" s="43"/>
      <c r="BS18" s="29">
        <v>0.85</v>
      </c>
      <c r="BT18" s="29">
        <v>4362.2</v>
      </c>
      <c r="BU18" s="44">
        <v>3951.19</v>
      </c>
    </row>
    <row r="19" spans="1:73" ht="12.75">
      <c r="A19" s="45"/>
      <c r="B19" s="45" t="s">
        <v>85</v>
      </c>
      <c r="C19" s="46"/>
      <c r="D19" s="47">
        <f>SUM(D10:D18)</f>
        <v>30681.9</v>
      </c>
      <c r="E19" s="48"/>
      <c r="F19" s="49"/>
      <c r="G19" s="49"/>
      <c r="H19" s="50" t="e">
        <f>#REF!+#REF!+#REF!+#REF!+#REF!+#REF!+#REF!+#REF!+#REF!+#REF!+#REF!+H17</f>
        <v>#REF!</v>
      </c>
      <c r="I19" s="51">
        <f>SUM(I10:I18)</f>
        <v>749</v>
      </c>
      <c r="J19" s="50" t="e">
        <f>#REF!+#REF!+#REF!+#REF!+#REF!</f>
        <v>#REF!</v>
      </c>
      <c r="K19" s="52">
        <f>SUM(K10:K18)</f>
        <v>2911.8</v>
      </c>
      <c r="L19" s="53">
        <f>SUM(L10:L18)</f>
        <v>8988</v>
      </c>
      <c r="M19" s="53">
        <f>SUM(M10:M18)</f>
        <v>4353</v>
      </c>
      <c r="N19" s="53">
        <f>SUM(N10:N18)</f>
        <v>1849.6</v>
      </c>
      <c r="O19" s="54">
        <f>SUM(O10:O18)</f>
        <v>18194.4</v>
      </c>
      <c r="P19" s="55">
        <f>SUM(P10:P18)</f>
        <v>0</v>
      </c>
      <c r="Q19" s="56"/>
      <c r="R19" s="56"/>
      <c r="S19" s="57">
        <f>SUM(S10:S18)</f>
        <v>9619</v>
      </c>
      <c r="T19" s="57"/>
      <c r="U19" s="47">
        <f>SUM(U10:U18)</f>
        <v>5154879.6899999995</v>
      </c>
      <c r="V19" s="47">
        <f>SUM(V10:V18)</f>
        <v>4994735.319999999</v>
      </c>
      <c r="W19" s="47">
        <f>V19/U19*100</f>
        <v>96.89334417812572</v>
      </c>
      <c r="X19" s="47">
        <f>SUM(X10:X18)</f>
        <v>-247911.2625336385</v>
      </c>
      <c r="Y19" s="47">
        <f>SUM(Y10:Y18)</f>
        <v>5242646.582533639</v>
      </c>
      <c r="Z19" s="47">
        <f>SUM(Z10:Z18)</f>
        <v>4442920.832655625</v>
      </c>
      <c r="AA19" s="58">
        <f>SUM(AA10:AA18)</f>
        <v>544345.8944886648</v>
      </c>
      <c r="AB19" s="58">
        <f>SUM(AB10:AB18)</f>
        <v>10.56</v>
      </c>
      <c r="AC19" s="58">
        <f>SUM(AC10:AC18)</f>
        <v>443636.64411083114</v>
      </c>
      <c r="AD19" s="58">
        <f>SUM(AD10:AD18)</f>
        <v>70418.91977833753</v>
      </c>
      <c r="AE19" s="58">
        <f>SUM(AE10:AE18)</f>
        <v>514055.5638891686</v>
      </c>
      <c r="AF19" s="58">
        <f>SUM(AF10:AF18)</f>
        <v>30290.330599496217</v>
      </c>
      <c r="AG19" s="47">
        <f>SUM(AG10:AG18)</f>
        <v>1640807.2969965993</v>
      </c>
      <c r="AH19" s="58">
        <f>SUM(AH10:AH18)</f>
        <v>10.947000000000001</v>
      </c>
      <c r="AI19" s="47">
        <f>SUM(AI10:AI18)</f>
        <v>836778.1566990523</v>
      </c>
      <c r="AJ19" s="47">
        <f>SUM(AJ10:AJ18)</f>
        <v>166956.83541563983</v>
      </c>
      <c r="AK19" s="47">
        <f>SUM(AK10:AK18)</f>
        <v>310703.55999999994</v>
      </c>
      <c r="AL19" s="47">
        <f>SUM(AL10:AL18)</f>
        <v>20933.415476937655</v>
      </c>
      <c r="AM19" s="47">
        <f>SUM(AM10:AM18)</f>
        <v>17551.25</v>
      </c>
      <c r="AN19" s="47">
        <f>SUM(AN10:AN18)</f>
        <v>1.6342246895586636</v>
      </c>
      <c r="AO19" s="52">
        <f>SUM(AO10:AO18)</f>
        <v>200314.89967266688</v>
      </c>
      <c r="AP19" s="47">
        <f>SUM(AP10:AP18)</f>
        <v>41249.122201965416</v>
      </c>
      <c r="AQ19" s="47">
        <f>SUM(AQ10:AQ18)</f>
        <v>46320.05753033719</v>
      </c>
      <c r="AR19" s="47">
        <f>SUM(AR10:AR18)</f>
        <v>796383.2687748225</v>
      </c>
      <c r="AS19" s="58">
        <f>SUM(AS10:AS18)</f>
        <v>402714.00000000006</v>
      </c>
      <c r="AT19" s="47">
        <f>SUM(AT10:AT18)</f>
        <v>21598.466162284134</v>
      </c>
      <c r="AU19" s="47">
        <f>SUM(AU10:AU18)</f>
        <v>338831.32</v>
      </c>
      <c r="AV19" s="47">
        <f>SUM(AV10:AV18)</f>
        <v>3465.297415342087</v>
      </c>
      <c r="AW19" s="47">
        <f>SUM(AW10:AW18)</f>
        <v>24271.11834586466</v>
      </c>
      <c r="AX19" s="47">
        <f>SUM(AX10:AX18)</f>
        <v>2820.980262145465</v>
      </c>
      <c r="AY19" s="47">
        <f>SUM(AY10:AY18)</f>
        <v>2682.0865891860617</v>
      </c>
      <c r="AZ19" s="47">
        <f>SUM(AZ10:AZ18)</f>
        <v>858003.3979522034</v>
      </c>
      <c r="BA19" s="47">
        <f>SUM(BA10:BA18)</f>
        <v>5.5860771206732505</v>
      </c>
      <c r="BB19" s="47">
        <f>SUM(BB10:BB18)</f>
        <v>602154.374418094</v>
      </c>
      <c r="BC19" s="47">
        <f>SUM(BC10:BC18)</f>
        <v>131924.94226989572</v>
      </c>
      <c r="BD19" s="47">
        <f>SUM(BD10:BD18)</f>
        <v>123924.08126421348</v>
      </c>
      <c r="BE19" s="47">
        <f>SUM(BE10:BE18)</f>
        <v>521934.55567673437</v>
      </c>
      <c r="BF19" s="47">
        <f>SUM(BF10:BF18)</f>
        <v>81446.41876660186</v>
      </c>
      <c r="BG19" s="47">
        <f>SUM(BG10:BG18)</f>
        <v>782108.3400000001</v>
      </c>
      <c r="BH19" s="59">
        <f>SUM(BH10:BH18)</f>
        <v>21953.8</v>
      </c>
      <c r="BI19" s="58"/>
      <c r="BJ19" s="47">
        <f>SUM(BJ10:BJ18)</f>
        <v>223198.42</v>
      </c>
      <c r="BK19" s="47">
        <f>SUM(BK10:BK18)</f>
        <v>214761.75</v>
      </c>
      <c r="BL19" s="60"/>
      <c r="BM19" s="60"/>
      <c r="BN19" s="59" t="e">
        <f>#REF!+#REF!+#REF!+#REF!+#REF!+#REF!+#REF!+#REF!</f>
        <v>#REF!</v>
      </c>
      <c r="BO19" s="61"/>
      <c r="BP19" s="61"/>
      <c r="BQ19" s="61"/>
      <c r="BR19" s="61"/>
      <c r="BS19" s="62"/>
      <c r="BT19" s="58">
        <f>SUM(BT10:BT18)</f>
        <v>54970.53</v>
      </c>
      <c r="BU19" s="58">
        <f>SUM(BU10:BU18)</f>
        <v>51559.08</v>
      </c>
    </row>
    <row r="20" spans="1:39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J20" s="63"/>
      <c r="AK20" s="64"/>
      <c r="AL20" s="64"/>
      <c r="AM20" s="64"/>
    </row>
    <row r="21" spans="1:3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AJ21" s="63"/>
      <c r="AK21" s="65"/>
      <c r="AL21" s="64"/>
      <c r="AM21" s="65"/>
    </row>
  </sheetData>
  <sheetProtection selectLockedCells="1" selectUnlockedCells="1"/>
  <mergeCells count="30">
    <mergeCell ref="A4:Q4"/>
    <mergeCell ref="A5:Q5"/>
    <mergeCell ref="A6:Q6"/>
    <mergeCell ref="AA6:AF6"/>
    <mergeCell ref="AG6:AQ6"/>
    <mergeCell ref="AR6:AY6"/>
    <mergeCell ref="BH6:BR6"/>
    <mergeCell ref="BS6:BU6"/>
    <mergeCell ref="A7:Q7"/>
    <mergeCell ref="AA7:AA8"/>
    <mergeCell ref="AB7:AF7"/>
    <mergeCell ref="AG7:AG8"/>
    <mergeCell ref="AH7:AQ7"/>
    <mergeCell ref="AR7:AR8"/>
    <mergeCell ref="AS7:AY7"/>
    <mergeCell ref="AZ7:AZ8"/>
    <mergeCell ref="BA7:BD7"/>
    <mergeCell ref="BE7:BE8"/>
    <mergeCell ref="BF7:BF8"/>
    <mergeCell ref="BG7:BG8"/>
    <mergeCell ref="BH7:BH8"/>
    <mergeCell ref="BI7:BI8"/>
    <mergeCell ref="BJ7:BJ8"/>
    <mergeCell ref="BK7:BK8"/>
    <mergeCell ref="BL7:BN7"/>
    <mergeCell ref="BO7:BR7"/>
    <mergeCell ref="BS7:BS8"/>
    <mergeCell ref="BT7:BT8"/>
    <mergeCell ref="BU7:BU8"/>
    <mergeCell ref="AJ20:AJ21"/>
  </mergeCells>
  <printOptions horizontalCentered="1" verticalCentered="1"/>
  <pageMargins left="0.022222222222222223" right="0.06597222222222222" top="0.001388888888888889" bottom="0.0423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Cronos</cp:lastModifiedBy>
  <cp:lastPrinted>2010-11-18T06:55:13Z</cp:lastPrinted>
  <dcterms:modified xsi:type="dcterms:W3CDTF">2010-12-18T09:03:11Z</dcterms:modified>
  <cp:category/>
  <cp:version/>
  <cp:contentType/>
  <cp:contentStatus/>
  <cp:revision>32</cp:revision>
</cp:coreProperties>
</file>