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одомовый учет" sheetId="1" r:id="rId1"/>
  </sheets>
  <definedNames/>
  <calcPr fullCalcOnLoad="1"/>
</workbook>
</file>

<file path=xl/sharedStrings.xml><?xml version="1.0" encoding="utf-8"?>
<sst xmlns="http://schemas.openxmlformats.org/spreadsheetml/2006/main" count="181" uniqueCount="105">
  <si>
    <t>ПОДОМОВЫЙ УЧЕТ СРЕДСТВ</t>
  </si>
  <si>
    <t xml:space="preserve"> собственников  и нанимателей многоквартирных домов,</t>
  </si>
  <si>
    <t>находящихся в управлении МУЖРП-9 г. Подольска</t>
  </si>
  <si>
    <t>Статьи расхода по ставке содержание и ремонт жилищного фонда</t>
  </si>
  <si>
    <t>Капитальный ремонт</t>
  </si>
  <si>
    <t>НАЁМ</t>
  </si>
  <si>
    <t xml:space="preserve">за 9 месяцев  2010 года </t>
  </si>
  <si>
    <t>Санитарное содержание дома, всего</t>
  </si>
  <si>
    <t>в том числе:</t>
  </si>
  <si>
    <t>Текущий ремонт, всего</t>
  </si>
  <si>
    <t>Услуги сторонних органи заций, всего</t>
  </si>
  <si>
    <t>Содержание АУП</t>
  </si>
  <si>
    <t>Услуги управления (ИРЦ)</t>
  </si>
  <si>
    <t>Прочие прямые расходы</t>
  </si>
  <si>
    <t>Вывоз ТБО и КГМ</t>
  </si>
  <si>
    <t xml:space="preserve">Площадь собственников  помещений </t>
  </si>
  <si>
    <t>Ставка     К.Р. (руб/кв.м)</t>
  </si>
  <si>
    <t>Начислено</t>
  </si>
  <si>
    <t>Собрано</t>
  </si>
  <si>
    <t>Израсходовано (руб.)</t>
  </si>
  <si>
    <t>За счет др. ист-ков фин-ирования</t>
  </si>
  <si>
    <t>Ставка найма (руб./кв.м.)</t>
  </si>
  <si>
    <t>№  п/п</t>
  </si>
  <si>
    <t>Название улиц</t>
  </si>
  <si>
    <t>n\n    домов</t>
  </si>
  <si>
    <t xml:space="preserve">Общая площадь собственников и нанимателей помещений </t>
  </si>
  <si>
    <t>Год  застройки</t>
  </si>
  <si>
    <t>К-во п-дов</t>
  </si>
  <si>
    <t>Кол-во этажей</t>
  </si>
  <si>
    <t>К-во лиф-в</t>
  </si>
  <si>
    <t>Кол-во квартир</t>
  </si>
  <si>
    <t>Кол-во эл.плит</t>
  </si>
  <si>
    <t>Уб.пл.    л/кл.</t>
  </si>
  <si>
    <t>Пл.тротуаров</t>
  </si>
  <si>
    <t>Пл.пр.замощений</t>
  </si>
  <si>
    <t>Пл.грунта</t>
  </si>
  <si>
    <t>пл.газона</t>
  </si>
  <si>
    <t>Ко-во м/пр-ов</t>
  </si>
  <si>
    <t>Мат-л стен</t>
  </si>
  <si>
    <t>Мат-л кровли</t>
  </si>
  <si>
    <t>Пл.кровли</t>
  </si>
  <si>
    <t>Ставка   Т/О (руб/кв.м)</t>
  </si>
  <si>
    <t>Запланированый доход (начислено по тарифу)</t>
  </si>
  <si>
    <t>Фактический доход (оплачено населением</t>
  </si>
  <si>
    <t>% сбора</t>
  </si>
  <si>
    <t>Фактический результат по дому:  Собрано- израсходовано (с НДС)</t>
  </si>
  <si>
    <t>ВСЕГО фактический      расход              ( с НДС)</t>
  </si>
  <si>
    <t>ВСЕГО фактический расход по содержанию ж/ф ,без учета мусора  без НДС)</t>
  </si>
  <si>
    <t>Численность</t>
  </si>
  <si>
    <t>Заботная плата</t>
  </si>
  <si>
    <t>Отчисления на соц.нужды</t>
  </si>
  <si>
    <t>ИТОГО: З/плата + начисления</t>
  </si>
  <si>
    <t>Материалы МОП</t>
  </si>
  <si>
    <t>Заработная плата</t>
  </si>
  <si>
    <t>Начисления на з/плату</t>
  </si>
  <si>
    <t>Материалы по факту (см. приложение)</t>
  </si>
  <si>
    <t>Инструмент</t>
  </si>
  <si>
    <t>Подрядные работы по Т.Р.</t>
  </si>
  <si>
    <t>Численность АДС</t>
  </si>
  <si>
    <t>З/плата</t>
  </si>
  <si>
    <t xml:space="preserve">Начисления на з/плату </t>
  </si>
  <si>
    <t>Содержание транспорта</t>
  </si>
  <si>
    <t>Освещение мест общего пользования</t>
  </si>
  <si>
    <t>Дератизация и дезинсекция</t>
  </si>
  <si>
    <t>Обслуживание лифтов</t>
  </si>
  <si>
    <t xml:space="preserve">Очистка вентканалов </t>
  </si>
  <si>
    <t>Очистка дымоходов</t>
  </si>
  <si>
    <t>Т/О внутридомовых газовых сетей и вводов</t>
  </si>
  <si>
    <r>
      <t>Прочие</t>
    </r>
    <r>
      <rPr>
        <b/>
        <sz val="7"/>
        <rFont val="Arial"/>
        <family val="2"/>
      </rPr>
      <t xml:space="preserve"> (пр-пож.мер-я,уб.кр-ль от сн.,з-р сопр-я,хим.оч.вода,р-нт обор-я)</t>
    </r>
  </si>
  <si>
    <t>Численность АУП и вспом. Персонала</t>
  </si>
  <si>
    <t>Начисления на  з/плату</t>
  </si>
  <si>
    <t>Прочие расходы</t>
  </si>
  <si>
    <t>Год кап.ремонта</t>
  </si>
  <si>
    <t>Вид кап.ремонта</t>
  </si>
  <si>
    <t>Сумма затраченных средств</t>
  </si>
  <si>
    <t>Энергосбережения</t>
  </si>
  <si>
    <t>Гор.бюджета</t>
  </si>
  <si>
    <t>Обл.бюджета</t>
  </si>
  <si>
    <t>Инвестпрограмм</t>
  </si>
  <si>
    <t>Циолковского</t>
  </si>
  <si>
    <t>панель</t>
  </si>
  <si>
    <t>совмещ.</t>
  </si>
  <si>
    <t>Швы</t>
  </si>
  <si>
    <t>1\22</t>
  </si>
  <si>
    <t>кирпич</t>
  </si>
  <si>
    <t>шифер</t>
  </si>
  <si>
    <t>шл.бл.</t>
  </si>
  <si>
    <t>металл</t>
  </si>
  <si>
    <t>7\11</t>
  </si>
  <si>
    <t>9\16</t>
  </si>
  <si>
    <t>10\6</t>
  </si>
  <si>
    <t>1984-89</t>
  </si>
  <si>
    <t>Лифты</t>
  </si>
  <si>
    <t>11А</t>
  </si>
  <si>
    <t>Кровля</t>
  </si>
  <si>
    <t>12\20</t>
  </si>
  <si>
    <t>13А</t>
  </si>
  <si>
    <t>13Б</t>
  </si>
  <si>
    <t>13В</t>
  </si>
  <si>
    <t>15А</t>
  </si>
  <si>
    <t>15Б</t>
  </si>
  <si>
    <t>17б</t>
  </si>
  <si>
    <t>Лифты, швы</t>
  </si>
  <si>
    <t>18\9</t>
  </si>
  <si>
    <t>ИТОГО: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</si>
</sst>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0"/>
    <numFmt numFmtId="167" formatCode="0.00"/>
    <numFmt numFmtId="168" formatCode="#,##0.0"/>
    <numFmt numFmtId="169" formatCode="0.0"/>
    <numFmt numFmtId="170" formatCode="#,##0"/>
    <numFmt numFmtId="171" formatCode="#,##0.00;[RED]\-#,##0.00"/>
  </numFmts>
  <fonts count="15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9"/>
      <color indexed="8"/>
      <name val="Arial Cyr"/>
      <family val="2"/>
    </font>
    <font>
      <sz val="10"/>
      <color indexed="8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left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5" fillId="0" borderId="1" xfId="0" applyFont="1" applyFill="1" applyBorder="1" applyAlignment="1">
      <alignment/>
    </xf>
    <xf numFmtId="164" fontId="11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right"/>
    </xf>
    <xf numFmtId="165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169" fontId="5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70" fontId="3" fillId="0" borderId="1" xfId="0" applyNumberFormat="1" applyFont="1" applyBorder="1" applyAlignment="1">
      <alignment/>
    </xf>
    <xf numFmtId="165" fontId="5" fillId="2" borderId="1" xfId="0" applyNumberFormat="1" applyFont="1" applyFill="1" applyBorder="1" applyAlignment="1">
      <alignment/>
    </xf>
    <xf numFmtId="165" fontId="6" fillId="0" borderId="1" xfId="0" applyNumberFormat="1" applyFont="1" applyBorder="1" applyAlignment="1">
      <alignment/>
    </xf>
    <xf numFmtId="165" fontId="12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71" fontId="5" fillId="0" borderId="1" xfId="0" applyNumberFormat="1" applyFont="1" applyBorder="1" applyAlignment="1">
      <alignment/>
    </xf>
    <xf numFmtId="164" fontId="12" fillId="0" borderId="1" xfId="0" applyFont="1" applyBorder="1" applyAlignment="1">
      <alignment/>
    </xf>
    <xf numFmtId="165" fontId="5" fillId="0" borderId="1" xfId="0" applyNumberFormat="1" applyFont="1" applyFill="1" applyBorder="1" applyAlignment="1">
      <alignment/>
    </xf>
    <xf numFmtId="165" fontId="11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/>
    </xf>
    <xf numFmtId="166" fontId="9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/>
    </xf>
    <xf numFmtId="165" fontId="3" fillId="0" borderId="1" xfId="0" applyNumberFormat="1" applyFont="1" applyFill="1" applyBorder="1" applyAlignment="1">
      <alignment horizontal="right"/>
    </xf>
    <xf numFmtId="164" fontId="3" fillId="0" borderId="1" xfId="0" applyFont="1" applyFill="1" applyBorder="1" applyAlignment="1">
      <alignment horizontal="right"/>
    </xf>
    <xf numFmtId="164" fontId="11" fillId="3" borderId="1" xfId="0" applyFont="1" applyFill="1" applyBorder="1" applyAlignment="1">
      <alignment/>
    </xf>
    <xf numFmtId="164" fontId="11" fillId="3" borderId="1" xfId="0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/>
    </xf>
    <xf numFmtId="166" fontId="5" fillId="3" borderId="1" xfId="0" applyNumberFormat="1" applyFont="1" applyFill="1" applyBorder="1" applyAlignment="1">
      <alignment horizontal="center"/>
    </xf>
    <xf numFmtId="169" fontId="12" fillId="3" borderId="1" xfId="0" applyNumberFormat="1" applyFont="1" applyFill="1" applyBorder="1" applyAlignment="1">
      <alignment/>
    </xf>
    <xf numFmtId="166" fontId="5" fillId="3" borderId="1" xfId="0" applyNumberFormat="1" applyFont="1" applyFill="1" applyBorder="1" applyAlignment="1">
      <alignment/>
    </xf>
    <xf numFmtId="166" fontId="3" fillId="3" borderId="1" xfId="0" applyNumberFormat="1" applyFont="1" applyFill="1" applyBorder="1" applyAlignment="1">
      <alignment/>
    </xf>
    <xf numFmtId="165" fontId="9" fillId="3" borderId="1" xfId="0" applyNumberFormat="1" applyFont="1" applyFill="1" applyBorder="1" applyAlignment="1">
      <alignment/>
    </xf>
    <xf numFmtId="168" fontId="5" fillId="3" borderId="1" xfId="0" applyNumberFormat="1" applyFont="1" applyFill="1" applyBorder="1" applyAlignment="1">
      <alignment/>
    </xf>
    <xf numFmtId="168" fontId="9" fillId="3" borderId="1" xfId="0" applyNumberFormat="1" applyFont="1" applyFill="1" applyBorder="1" applyAlignment="1">
      <alignment/>
    </xf>
    <xf numFmtId="170" fontId="5" fillId="3" borderId="1" xfId="0" applyNumberFormat="1" applyFont="1" applyFill="1" applyBorder="1" applyAlignment="1">
      <alignment/>
    </xf>
    <xf numFmtId="170" fontId="3" fillId="3" borderId="1" xfId="0" applyNumberFormat="1" applyFont="1" applyFill="1" applyBorder="1" applyAlignment="1">
      <alignment/>
    </xf>
    <xf numFmtId="168" fontId="3" fillId="3" borderId="1" xfId="0" applyNumberFormat="1" applyFont="1" applyFill="1" applyBorder="1" applyAlignment="1">
      <alignment/>
    </xf>
    <xf numFmtId="165" fontId="5" fillId="3" borderId="1" xfId="0" applyNumberFormat="1" applyFont="1" applyFill="1" applyBorder="1" applyAlignment="1">
      <alignment/>
    </xf>
    <xf numFmtId="171" fontId="5" fillId="3" borderId="1" xfId="0" applyNumberFormat="1" applyFont="1" applyFill="1" applyBorder="1" applyAlignment="1">
      <alignment/>
    </xf>
    <xf numFmtId="164" fontId="5" fillId="3" borderId="1" xfId="0" applyFont="1" applyFill="1" applyBorder="1" applyAlignment="1">
      <alignment/>
    </xf>
    <xf numFmtId="164" fontId="12" fillId="3" borderId="1" xfId="0" applyFont="1" applyFill="1" applyBorder="1" applyAlignment="1">
      <alignment/>
    </xf>
    <xf numFmtId="165" fontId="12" fillId="3" borderId="1" xfId="0" applyNumberFormat="1" applyFont="1" applyFill="1" applyBorder="1" applyAlignment="1">
      <alignment/>
    </xf>
    <xf numFmtId="164" fontId="13" fillId="0" borderId="0" xfId="0" applyFont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36"/>
  <sheetViews>
    <sheetView tabSelected="1" workbookViewId="0" topLeftCell="A6">
      <selection activeCell="BN35" sqref="BN35"/>
    </sheetView>
  </sheetViews>
  <sheetFormatPr defaultColWidth="9.140625" defaultRowHeight="12.75"/>
  <cols>
    <col min="1" max="1" width="3.00390625" style="1" customWidth="1"/>
    <col min="2" max="2" width="14.57421875" style="1" customWidth="1"/>
    <col min="3" max="3" width="4.57421875" style="1" customWidth="1"/>
    <col min="4" max="4" width="13.57421875" style="1" customWidth="1"/>
    <col min="5" max="5" width="6.00390625" style="1" customWidth="1"/>
    <col min="6" max="6" width="3.28125" style="1" customWidth="1"/>
    <col min="7" max="7" width="3.421875" style="1" customWidth="1"/>
    <col min="8" max="9" width="4.28125" style="1" customWidth="1"/>
    <col min="10" max="10" width="3.57421875" style="1" customWidth="1"/>
    <col min="11" max="11" width="6.7109375" style="1" customWidth="1"/>
    <col min="12" max="12" width="7.7109375" style="1" customWidth="1"/>
    <col min="13" max="13" width="6.7109375" style="1" customWidth="1"/>
    <col min="14" max="14" width="8.00390625" style="1" customWidth="1"/>
    <col min="15" max="15" width="7.140625" style="1" customWidth="1"/>
    <col min="16" max="16" width="3.7109375" style="1" customWidth="1"/>
    <col min="17" max="18" width="8.421875" style="1" customWidth="1"/>
    <col min="19" max="19" width="9.7109375" style="1" customWidth="1"/>
    <col min="20" max="20" width="8.57421875" style="1" customWidth="1"/>
    <col min="21" max="21" width="12.57421875" style="1" customWidth="1"/>
    <col min="22" max="22" width="12.8515625" style="1" customWidth="1"/>
    <col min="23" max="23" width="7.140625" style="1" customWidth="1"/>
    <col min="24" max="25" width="14.421875" style="1" customWidth="1"/>
    <col min="26" max="26" width="15.8515625" style="1" customWidth="1"/>
    <col min="27" max="27" width="22.140625" style="1" customWidth="1"/>
    <col min="28" max="28" width="15.140625" style="1" customWidth="1"/>
    <col min="29" max="29" width="13.7109375" style="1" customWidth="1"/>
    <col min="30" max="30" width="18.421875" style="1" customWidth="1"/>
    <col min="31" max="31" width="19.57421875" style="1" customWidth="1"/>
    <col min="32" max="32" width="12.140625" style="1" customWidth="1"/>
    <col min="33" max="33" width="10.421875" style="1" customWidth="1"/>
    <col min="34" max="34" width="7.421875" style="1" customWidth="1"/>
    <col min="35" max="35" width="10.421875" style="1" customWidth="1"/>
    <col min="36" max="36" width="9.7109375" style="1" customWidth="1"/>
    <col min="37" max="37" width="11.28125" style="1" customWidth="1"/>
    <col min="38" max="38" width="9.00390625" style="1" customWidth="1"/>
    <col min="39" max="39" width="8.421875" style="1" customWidth="1"/>
    <col min="40" max="40" width="7.28125" style="1" customWidth="1"/>
    <col min="41" max="41" width="9.140625" style="1" customWidth="1"/>
    <col min="42" max="42" width="8.7109375" style="1" customWidth="1"/>
    <col min="43" max="44" width="12.140625" style="1" customWidth="1"/>
    <col min="45" max="45" width="10.8515625" style="1" customWidth="1"/>
    <col min="46" max="46" width="9.28125" style="1" customWidth="1"/>
    <col min="47" max="47" width="10.8515625" style="1" customWidth="1"/>
    <col min="48" max="48" width="12.8515625" style="1" customWidth="1"/>
    <col min="49" max="49" width="12.421875" style="1" customWidth="1"/>
    <col min="50" max="50" width="12.28125" style="1" customWidth="1"/>
    <col min="51" max="51" width="14.7109375" style="1" customWidth="1"/>
    <col min="52" max="53" width="11.7109375" style="1" customWidth="1"/>
    <col min="54" max="54" width="11.8515625" style="1" customWidth="1"/>
    <col min="56" max="56" width="12.28125" style="1" customWidth="1"/>
    <col min="57" max="57" width="15.57421875" style="1" customWidth="1"/>
    <col min="58" max="58" width="15.28125" style="1" customWidth="1"/>
    <col min="59" max="59" width="11.8515625" style="1" customWidth="1"/>
    <col min="60" max="60" width="9.7109375" style="1" customWidth="1"/>
    <col min="61" max="61" width="8.7109375" style="1" customWidth="1"/>
    <col min="62" max="62" width="10.00390625" style="1" customWidth="1"/>
    <col min="63" max="63" width="10.28125" style="1" customWidth="1"/>
    <col min="64" max="64" width="7.8515625" style="1" customWidth="1"/>
    <col min="65" max="65" width="11.140625" style="1" customWidth="1"/>
    <col min="66" max="66" width="9.7109375" style="1" customWidth="1"/>
    <col min="67" max="67" width="5.140625" style="1" customWidth="1"/>
    <col min="68" max="69" width="5.28125" style="1" customWidth="1"/>
    <col min="70" max="70" width="8.7109375" style="1" customWidth="1"/>
    <col min="71" max="71" width="14.57421875" style="1" customWidth="1"/>
    <col min="72" max="72" width="16.57421875" style="1" customWidth="1"/>
    <col min="73" max="73" width="18.8515625" style="1" customWidth="1"/>
  </cols>
  <sheetData>
    <row r="1" spans="1:17" ht="11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0.5" customHeight="1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79" ht="11.25" customHeight="1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AF5" s="1">
        <v>3</v>
      </c>
      <c r="AQ5" s="1">
        <v>4</v>
      </c>
      <c r="AY5" s="1">
        <v>5</v>
      </c>
      <c r="BG5" s="1">
        <v>6</v>
      </c>
      <c r="BR5" s="1">
        <v>7</v>
      </c>
      <c r="CA5" s="1">
        <v>8</v>
      </c>
    </row>
    <row r="6" spans="1:73" ht="10.5" customHeight="1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AA6" s="4" t="s">
        <v>3</v>
      </c>
      <c r="AB6" s="4"/>
      <c r="AC6" s="4"/>
      <c r="AD6" s="4"/>
      <c r="AE6" s="4"/>
      <c r="AF6" s="4"/>
      <c r="AG6" s="4" t="s">
        <v>3</v>
      </c>
      <c r="AH6" s="4"/>
      <c r="AI6" s="4"/>
      <c r="AJ6" s="4"/>
      <c r="AK6" s="4"/>
      <c r="AL6" s="4"/>
      <c r="AM6" s="4"/>
      <c r="AN6" s="4"/>
      <c r="AO6" s="4"/>
      <c r="AP6" s="4"/>
      <c r="AQ6" s="4"/>
      <c r="AR6" s="4" t="s">
        <v>3</v>
      </c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 t="s">
        <v>4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5" t="s">
        <v>5</v>
      </c>
      <c r="BT6" s="5"/>
      <c r="BU6" s="5"/>
    </row>
    <row r="7" spans="1:73" ht="9.75" customHeight="1">
      <c r="A7" s="2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Z7" s="1">
        <v>2</v>
      </c>
      <c r="AA7" s="6" t="s">
        <v>7</v>
      </c>
      <c r="AB7" s="7" t="s">
        <v>8</v>
      </c>
      <c r="AC7" s="7"/>
      <c r="AD7" s="7"/>
      <c r="AE7" s="7"/>
      <c r="AF7" s="7"/>
      <c r="AG7" s="8" t="s">
        <v>9</v>
      </c>
      <c r="AH7" s="9" t="s">
        <v>8</v>
      </c>
      <c r="AI7" s="9"/>
      <c r="AJ7" s="9"/>
      <c r="AK7" s="9"/>
      <c r="AL7" s="9"/>
      <c r="AM7" s="9"/>
      <c r="AN7" s="9"/>
      <c r="AO7" s="9"/>
      <c r="AP7" s="9"/>
      <c r="AQ7" s="9"/>
      <c r="AR7" s="10" t="s">
        <v>10</v>
      </c>
      <c r="AS7" s="11" t="s">
        <v>8</v>
      </c>
      <c r="AT7" s="11"/>
      <c r="AU7" s="11"/>
      <c r="AV7" s="11"/>
      <c r="AW7" s="11"/>
      <c r="AX7" s="11"/>
      <c r="AY7" s="11"/>
      <c r="AZ7" s="12" t="s">
        <v>11</v>
      </c>
      <c r="BA7" s="11" t="s">
        <v>8</v>
      </c>
      <c r="BB7" s="11"/>
      <c r="BC7" s="11"/>
      <c r="BD7" s="11"/>
      <c r="BE7" s="13" t="s">
        <v>12</v>
      </c>
      <c r="BF7" s="13" t="s">
        <v>13</v>
      </c>
      <c r="BG7" s="13" t="s">
        <v>14</v>
      </c>
      <c r="BH7" s="14" t="s">
        <v>15</v>
      </c>
      <c r="BI7" s="15" t="s">
        <v>16</v>
      </c>
      <c r="BJ7" s="15" t="s">
        <v>17</v>
      </c>
      <c r="BK7" s="15" t="s">
        <v>18</v>
      </c>
      <c r="BL7" s="5" t="s">
        <v>19</v>
      </c>
      <c r="BM7" s="5"/>
      <c r="BN7" s="5"/>
      <c r="BO7" s="16" t="s">
        <v>20</v>
      </c>
      <c r="BP7" s="16"/>
      <c r="BQ7" s="16"/>
      <c r="BR7" s="16"/>
      <c r="BS7" s="10" t="s">
        <v>21</v>
      </c>
      <c r="BT7" s="10" t="s">
        <v>17</v>
      </c>
      <c r="BU7" s="17" t="s">
        <v>18</v>
      </c>
    </row>
    <row r="8" spans="1:73" ht="36" customHeight="1">
      <c r="A8" s="18" t="s">
        <v>22</v>
      </c>
      <c r="B8" s="18" t="s">
        <v>23</v>
      </c>
      <c r="C8" s="18" t="s">
        <v>24</v>
      </c>
      <c r="D8" s="19" t="s">
        <v>25</v>
      </c>
      <c r="E8" s="6" t="s">
        <v>26</v>
      </c>
      <c r="F8" s="20" t="s">
        <v>27</v>
      </c>
      <c r="G8" s="20" t="s">
        <v>28</v>
      </c>
      <c r="H8" s="20" t="s">
        <v>29</v>
      </c>
      <c r="I8" s="20" t="s">
        <v>30</v>
      </c>
      <c r="J8" s="20" t="s">
        <v>31</v>
      </c>
      <c r="K8" s="12" t="s">
        <v>32</v>
      </c>
      <c r="L8" s="6" t="s">
        <v>33</v>
      </c>
      <c r="M8" s="12" t="s">
        <v>34</v>
      </c>
      <c r="N8" s="20" t="s">
        <v>35</v>
      </c>
      <c r="O8" s="12" t="s">
        <v>36</v>
      </c>
      <c r="P8" s="20" t="s">
        <v>37</v>
      </c>
      <c r="Q8" s="6" t="s">
        <v>38</v>
      </c>
      <c r="R8" s="6" t="s">
        <v>39</v>
      </c>
      <c r="S8" s="6" t="s">
        <v>40</v>
      </c>
      <c r="T8" s="21" t="s">
        <v>41</v>
      </c>
      <c r="U8" s="19" t="s">
        <v>42</v>
      </c>
      <c r="V8" s="19" t="s">
        <v>43</v>
      </c>
      <c r="W8" s="6" t="s">
        <v>44</v>
      </c>
      <c r="X8" s="22" t="s">
        <v>45</v>
      </c>
      <c r="Y8" s="20" t="s">
        <v>46</v>
      </c>
      <c r="Z8" s="20" t="s">
        <v>47</v>
      </c>
      <c r="AA8" s="6"/>
      <c r="AB8" s="6" t="s">
        <v>48</v>
      </c>
      <c r="AC8" s="6" t="s">
        <v>49</v>
      </c>
      <c r="AD8" s="6" t="s">
        <v>50</v>
      </c>
      <c r="AE8" s="6" t="s">
        <v>51</v>
      </c>
      <c r="AF8" s="6" t="s">
        <v>52</v>
      </c>
      <c r="AG8" s="8"/>
      <c r="AH8" s="12" t="s">
        <v>48</v>
      </c>
      <c r="AI8" s="12" t="s">
        <v>53</v>
      </c>
      <c r="AJ8" s="12" t="s">
        <v>54</v>
      </c>
      <c r="AK8" s="20" t="s">
        <v>55</v>
      </c>
      <c r="AL8" s="12" t="s">
        <v>56</v>
      </c>
      <c r="AM8" s="20" t="s">
        <v>57</v>
      </c>
      <c r="AN8" s="12" t="s">
        <v>58</v>
      </c>
      <c r="AO8" s="12" t="s">
        <v>59</v>
      </c>
      <c r="AP8" s="12" t="s">
        <v>60</v>
      </c>
      <c r="AQ8" s="12" t="s">
        <v>61</v>
      </c>
      <c r="AR8" s="10"/>
      <c r="AS8" s="20" t="s">
        <v>62</v>
      </c>
      <c r="AT8" s="20" t="s">
        <v>63</v>
      </c>
      <c r="AU8" s="12" t="s">
        <v>64</v>
      </c>
      <c r="AV8" s="12" t="s">
        <v>65</v>
      </c>
      <c r="AW8" s="12" t="s">
        <v>66</v>
      </c>
      <c r="AX8" s="20" t="s">
        <v>67</v>
      </c>
      <c r="AY8" s="23" t="s">
        <v>68</v>
      </c>
      <c r="AZ8" s="12"/>
      <c r="BA8" s="12" t="s">
        <v>69</v>
      </c>
      <c r="BB8" s="12" t="s">
        <v>59</v>
      </c>
      <c r="BC8" s="12" t="s">
        <v>70</v>
      </c>
      <c r="BD8" s="13" t="s">
        <v>71</v>
      </c>
      <c r="BE8" s="13"/>
      <c r="BF8" s="13"/>
      <c r="BG8" s="13"/>
      <c r="BH8" s="14"/>
      <c r="BI8" s="14"/>
      <c r="BJ8" s="14"/>
      <c r="BK8" s="14"/>
      <c r="BL8" s="13" t="s">
        <v>72</v>
      </c>
      <c r="BM8" s="13" t="s">
        <v>73</v>
      </c>
      <c r="BN8" s="20" t="s">
        <v>74</v>
      </c>
      <c r="BO8" s="20" t="s">
        <v>75</v>
      </c>
      <c r="BP8" s="13" t="s">
        <v>76</v>
      </c>
      <c r="BQ8" s="13" t="s">
        <v>77</v>
      </c>
      <c r="BR8" s="13" t="s">
        <v>78</v>
      </c>
      <c r="BS8" s="10"/>
      <c r="BT8" s="10"/>
      <c r="BU8" s="17"/>
    </row>
    <row r="9" spans="1:73" ht="12.75">
      <c r="A9" s="24">
        <v>1</v>
      </c>
      <c r="B9" s="24">
        <v>2</v>
      </c>
      <c r="C9" s="24">
        <v>3</v>
      </c>
      <c r="D9" s="24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5">
        <v>15</v>
      </c>
      <c r="P9" s="25">
        <v>16</v>
      </c>
      <c r="Q9" s="25">
        <v>17</v>
      </c>
      <c r="R9" s="25">
        <v>18</v>
      </c>
      <c r="S9" s="25">
        <v>19</v>
      </c>
      <c r="T9" s="25">
        <v>20</v>
      </c>
      <c r="U9" s="25">
        <v>21</v>
      </c>
      <c r="V9" s="25">
        <v>22</v>
      </c>
      <c r="W9" s="25">
        <v>23</v>
      </c>
      <c r="X9" s="25">
        <v>24</v>
      </c>
      <c r="Y9" s="25">
        <v>25</v>
      </c>
      <c r="Z9" s="25">
        <v>26</v>
      </c>
      <c r="AA9" s="24">
        <v>27</v>
      </c>
      <c r="AB9" s="24">
        <v>28</v>
      </c>
      <c r="AC9" s="25">
        <v>29</v>
      </c>
      <c r="AD9" s="24">
        <v>30</v>
      </c>
      <c r="AE9" s="24">
        <v>31</v>
      </c>
      <c r="AF9" s="24">
        <v>32</v>
      </c>
      <c r="AG9" s="24">
        <v>33</v>
      </c>
      <c r="AH9" s="24">
        <v>34</v>
      </c>
      <c r="AI9" s="26">
        <v>35</v>
      </c>
      <c r="AJ9" s="24">
        <v>36</v>
      </c>
      <c r="AK9" s="24">
        <v>37</v>
      </c>
      <c r="AL9" s="26">
        <v>38</v>
      </c>
      <c r="AM9" s="24">
        <v>39</v>
      </c>
      <c r="AN9" s="24">
        <v>40</v>
      </c>
      <c r="AO9" s="24">
        <v>41</v>
      </c>
      <c r="AP9" s="25">
        <v>42</v>
      </c>
      <c r="AQ9" s="25">
        <v>43</v>
      </c>
      <c r="AR9" s="24">
        <v>44</v>
      </c>
      <c r="AS9" s="24">
        <v>45</v>
      </c>
      <c r="AT9" s="25">
        <v>46</v>
      </c>
      <c r="AU9" s="24">
        <v>47</v>
      </c>
      <c r="AV9" s="24">
        <v>48</v>
      </c>
      <c r="AW9" s="24">
        <v>49</v>
      </c>
      <c r="AX9" s="24">
        <v>50</v>
      </c>
      <c r="AY9" s="24">
        <v>51</v>
      </c>
      <c r="AZ9" s="24">
        <v>52</v>
      </c>
      <c r="BA9" s="24">
        <v>53</v>
      </c>
      <c r="BB9" s="25">
        <v>54</v>
      </c>
      <c r="BC9" s="24">
        <v>55</v>
      </c>
      <c r="BD9" s="24">
        <v>56</v>
      </c>
      <c r="BE9" s="24">
        <v>57</v>
      </c>
      <c r="BF9" s="24">
        <v>58</v>
      </c>
      <c r="BG9" s="25">
        <v>59</v>
      </c>
      <c r="BH9" s="24">
        <v>60</v>
      </c>
      <c r="BI9" s="24">
        <v>61</v>
      </c>
      <c r="BJ9" s="25">
        <v>62</v>
      </c>
      <c r="BK9" s="24">
        <v>63</v>
      </c>
      <c r="BL9" s="24">
        <v>64</v>
      </c>
      <c r="BM9" s="24">
        <v>65</v>
      </c>
      <c r="BN9" s="24">
        <v>66</v>
      </c>
      <c r="BO9" s="24">
        <v>67</v>
      </c>
      <c r="BP9" s="25">
        <v>68</v>
      </c>
      <c r="BQ9" s="24">
        <v>69</v>
      </c>
      <c r="BR9" s="24">
        <v>70</v>
      </c>
      <c r="BS9" s="24">
        <v>71</v>
      </c>
      <c r="BT9" s="24">
        <v>72</v>
      </c>
      <c r="BU9" s="24">
        <v>73</v>
      </c>
    </row>
    <row r="10" spans="1:73" ht="11.25" customHeight="1">
      <c r="A10" s="27">
        <v>1</v>
      </c>
      <c r="B10" s="28" t="s">
        <v>79</v>
      </c>
      <c r="C10" s="29">
        <v>1</v>
      </c>
      <c r="D10" s="30">
        <v>3726.3</v>
      </c>
      <c r="E10" s="31">
        <v>1981</v>
      </c>
      <c r="F10" s="32">
        <v>2</v>
      </c>
      <c r="G10" s="32">
        <v>9</v>
      </c>
      <c r="H10" s="32">
        <v>2</v>
      </c>
      <c r="I10" s="32">
        <v>72</v>
      </c>
      <c r="J10" s="32"/>
      <c r="K10" s="33">
        <v>464.42</v>
      </c>
      <c r="L10" s="34">
        <f>1270</f>
        <v>1270</v>
      </c>
      <c r="M10" s="35">
        <v>0</v>
      </c>
      <c r="N10" s="35">
        <v>2496</v>
      </c>
      <c r="O10" s="35">
        <v>1900</v>
      </c>
      <c r="P10" s="32">
        <v>2</v>
      </c>
      <c r="Q10" s="36" t="s">
        <v>80</v>
      </c>
      <c r="R10" s="36" t="s">
        <v>81</v>
      </c>
      <c r="S10" s="35">
        <v>559</v>
      </c>
      <c r="T10" s="37">
        <v>24.39</v>
      </c>
      <c r="U10" s="37">
        <v>817960.05</v>
      </c>
      <c r="V10" s="37">
        <v>743576.52</v>
      </c>
      <c r="W10" s="38">
        <f>V10/U10*100</f>
        <v>90.90621479618717</v>
      </c>
      <c r="X10" s="37">
        <f>V10-Y10</f>
        <v>-373357.9112689784</v>
      </c>
      <c r="Y10" s="37">
        <f>Z10*1.18</f>
        <v>1116934.4312689784</v>
      </c>
      <c r="Z10" s="37">
        <f>AA10+AG10+AR10+AZ10+BE10+BF10</f>
        <v>946554.6027703207</v>
      </c>
      <c r="AA10" s="30">
        <f>AE10+AF10</f>
        <v>305430.7769267142</v>
      </c>
      <c r="AB10" s="30">
        <v>2.58</v>
      </c>
      <c r="AC10" s="30">
        <f>3335677.04/AB34*AB10</f>
        <v>257204.02759115363</v>
      </c>
      <c r="AD10" s="30">
        <f>529475.59/3335677.04*AC10</f>
        <v>40826.270836820084</v>
      </c>
      <c r="AE10" s="30">
        <f>AC10+AD10</f>
        <v>298030.2984279737</v>
      </c>
      <c r="AF10" s="30">
        <f>227751.16/79.4*AB10</f>
        <v>7400.478498740554</v>
      </c>
      <c r="AG10" s="30">
        <f>AI10+AJ10+AK10+AL10+AM10+AO10+AP10+AQ10</f>
        <v>153397.96986355315</v>
      </c>
      <c r="AH10" s="30">
        <f>0.807+0.018</f>
        <v>0.8250000000000001</v>
      </c>
      <c r="AI10" s="30">
        <f>4838591.15/63.3*AH10</f>
        <v>63062.20693127964</v>
      </c>
      <c r="AJ10" s="30">
        <f>965412.23/4838591.15*AI10</f>
        <v>12582.386883886258</v>
      </c>
      <c r="AK10" s="39">
        <v>41087.09</v>
      </c>
      <c r="AL10" s="40">
        <f>123624.91/74.3*(AH10+AN10)</f>
        <v>1702.9218145315324</v>
      </c>
      <c r="AM10" s="41"/>
      <c r="AN10" s="37">
        <f>11/206520.5*D10</f>
        <v>0.1984756961173346</v>
      </c>
      <c r="AO10" s="37">
        <f>1348323.71/11*AN10</f>
        <v>24328.135175796106</v>
      </c>
      <c r="AP10" s="30">
        <f>277648.69/1348323.71*AO10</f>
        <v>5009.6833658014575</v>
      </c>
      <c r="AQ10" s="30">
        <f>311781.26/206520.5*D10</f>
        <v>5625.545692258154</v>
      </c>
      <c r="AR10" s="30">
        <f>AS10+AT10+AU10+AV10+AW10+AX10+AY10</f>
        <v>310241.52199625515</v>
      </c>
      <c r="AS10" s="40">
        <f>5858*2.6*9</f>
        <v>137077.2</v>
      </c>
      <c r="AT10" s="40">
        <f>145379.72/206520.5*D10</f>
        <v>2623.1219207584722</v>
      </c>
      <c r="AU10" s="30">
        <f>84707.83*2</f>
        <v>169415.66</v>
      </c>
      <c r="AV10" s="30">
        <f>20083.92/I34*I10</f>
        <v>799.8021238938052</v>
      </c>
      <c r="AW10" s="30"/>
      <c r="AX10" s="30"/>
      <c r="AY10" s="30">
        <f>18053.18/206520.5*D10</f>
        <v>325.73795160286755</v>
      </c>
      <c r="AZ10" s="42">
        <f>BB10+BC10+BD10</f>
        <v>104204.0441364223</v>
      </c>
      <c r="BA10" s="42">
        <f>37.6/206520.5*D10</f>
        <v>0.6784260158192529</v>
      </c>
      <c r="BB10" s="30">
        <f>4053113.48/37.6*BA10</f>
        <v>73131.31994414114</v>
      </c>
      <c r="BC10" s="30">
        <f>887989.5/4053113.48*BB10</f>
        <v>16022.212196125809</v>
      </c>
      <c r="BD10" s="30">
        <f>834135.54/37.6*BA10</f>
        <v>15050.511996155348</v>
      </c>
      <c r="BE10" s="30">
        <f>3513152.23/206520.5*D10</f>
        <v>63388.66676503786</v>
      </c>
      <c r="BF10" s="40">
        <f>548217.52/206520.5*D10</f>
        <v>9891.623082338074</v>
      </c>
      <c r="BG10" s="30">
        <v>97096.98</v>
      </c>
      <c r="BH10" s="30">
        <v>2651.2</v>
      </c>
      <c r="BI10" s="30">
        <v>1.18</v>
      </c>
      <c r="BJ10" s="30">
        <v>27253.96</v>
      </c>
      <c r="BK10" s="30">
        <v>24467.4</v>
      </c>
      <c r="BL10" s="42">
        <v>2010</v>
      </c>
      <c r="BM10" s="42" t="s">
        <v>82</v>
      </c>
      <c r="BN10" s="43">
        <v>70238.92</v>
      </c>
      <c r="BO10" s="44"/>
      <c r="BP10" s="44"/>
      <c r="BQ10" s="44"/>
      <c r="BR10" s="44"/>
      <c r="BS10" s="45">
        <v>1.06</v>
      </c>
      <c r="BT10" s="46">
        <v>8862.48</v>
      </c>
      <c r="BU10" s="47">
        <v>8030.21</v>
      </c>
    </row>
    <row r="11" spans="1:73" ht="11.25" customHeight="1">
      <c r="A11" s="27">
        <v>2</v>
      </c>
      <c r="B11" s="28" t="s">
        <v>79</v>
      </c>
      <c r="C11" s="29" t="s">
        <v>83</v>
      </c>
      <c r="D11" s="30">
        <v>1931.8</v>
      </c>
      <c r="E11" s="31">
        <v>1958</v>
      </c>
      <c r="F11" s="32">
        <v>4</v>
      </c>
      <c r="G11" s="32">
        <v>3</v>
      </c>
      <c r="H11" s="32"/>
      <c r="I11" s="32">
        <v>30</v>
      </c>
      <c r="J11" s="32"/>
      <c r="K11" s="33">
        <v>202</v>
      </c>
      <c r="L11" s="34">
        <f>1510+530+723</f>
        <v>2763</v>
      </c>
      <c r="M11" s="35">
        <v>0</v>
      </c>
      <c r="N11" s="35">
        <v>0</v>
      </c>
      <c r="O11" s="35">
        <v>4007</v>
      </c>
      <c r="P11" s="32"/>
      <c r="Q11" s="36" t="s">
        <v>84</v>
      </c>
      <c r="R11" s="36" t="s">
        <v>85</v>
      </c>
      <c r="S11" s="35">
        <v>1101</v>
      </c>
      <c r="T11" s="37">
        <v>16.95</v>
      </c>
      <c r="U11" s="37">
        <v>294696.9</v>
      </c>
      <c r="V11" s="37">
        <v>279475.68</v>
      </c>
      <c r="W11" s="38">
        <f>V11/U11*100</f>
        <v>94.83495754451438</v>
      </c>
      <c r="X11" s="37">
        <f>V11-Y11</f>
        <v>-319476.37632488954</v>
      </c>
      <c r="Y11" s="37">
        <f>Z11*1.18</f>
        <v>598952.0563248895</v>
      </c>
      <c r="Z11" s="37">
        <f>AA11+AG11+AR11+AZ11+BE11+BF11</f>
        <v>507586.4884109234</v>
      </c>
      <c r="AA11" s="30">
        <f>AE11+AF11</f>
        <v>178759.87331757304</v>
      </c>
      <c r="AB11" s="30">
        <v>1.51</v>
      </c>
      <c r="AC11" s="30">
        <f>3335677.04/AB34*AB11</f>
        <v>150534.14017931858</v>
      </c>
      <c r="AD11" s="30">
        <f>529475.59/3335677.04*AC11</f>
        <v>23894.445334728032</v>
      </c>
      <c r="AE11" s="30">
        <f>AC11+AD11</f>
        <v>174428.5855140466</v>
      </c>
      <c r="AF11" s="30">
        <f>227751.16/79.4*AB11</f>
        <v>4331.287803526448</v>
      </c>
      <c r="AG11" s="30">
        <f>AI11+AJ11+AK11+AL11+AM11+AO11+AP11+AQ11</f>
        <v>225054.12712455358</v>
      </c>
      <c r="AH11" s="30">
        <f>0.634+0.018</f>
        <v>0.652</v>
      </c>
      <c r="AI11" s="30">
        <f>4838591.15/63.3*AH11</f>
        <v>49838.253235387056</v>
      </c>
      <c r="AJ11" s="30">
        <f>965412.23/4838591.15*AI11</f>
        <v>9943.898482780412</v>
      </c>
      <c r="AK11" s="39">
        <v>10173.73</v>
      </c>
      <c r="AL11" s="40">
        <f>123624.91/74.3*(AH11+AN11)</f>
        <v>1256.0397106657952</v>
      </c>
      <c r="AM11" s="37">
        <v>135716.39</v>
      </c>
      <c r="AN11" s="37">
        <f>11/206520.5*D11</f>
        <v>0.10289438578736736</v>
      </c>
      <c r="AO11" s="37">
        <f>1348323.71/11*AN11</f>
        <v>12612.26727118131</v>
      </c>
      <c r="AP11" s="30">
        <f>277648.69/1348323.71*AO11</f>
        <v>2597.135583837924</v>
      </c>
      <c r="AQ11" s="30">
        <f>311781.26/206520.5*D11</f>
        <v>2916.4128407010444</v>
      </c>
      <c r="AR11" s="30">
        <f>AS11+AT11+AU11+AV11+AW11+AX11+AY11</f>
        <v>11760.509225834192</v>
      </c>
      <c r="AS11" s="30">
        <f>345*2.6*9</f>
        <v>8073</v>
      </c>
      <c r="AT11" s="40">
        <f>145379.72/206520.5*D11</f>
        <v>1359.8869995763132</v>
      </c>
      <c r="AU11" s="30"/>
      <c r="AV11" s="30">
        <f>20083.92/4341*I11</f>
        <v>138.79695922598478</v>
      </c>
      <c r="AW11" s="30">
        <f>46783.76/1064*I11</f>
        <v>1319.090977443609</v>
      </c>
      <c r="AX11" s="30">
        <f>21076.61/58093.7*D11</f>
        <v>700.8642107147591</v>
      </c>
      <c r="AY11" s="30">
        <f>18053.18/206520.5*D11</f>
        <v>168.87007887352587</v>
      </c>
      <c r="AZ11" s="42">
        <f>BB11+BC11+BD11</f>
        <v>54021.78366281313</v>
      </c>
      <c r="BA11" s="42">
        <f>37.6/206520.5*D11</f>
        <v>0.35171171869136475</v>
      </c>
      <c r="BB11" s="30">
        <f>4053113.48/37.6*BA11</f>
        <v>37912.965641009</v>
      </c>
      <c r="BC11" s="30">
        <f>887989.5/4053113.48*BB11</f>
        <v>8306.284926193768</v>
      </c>
      <c r="BD11" s="30">
        <f>834135.54/37.6*BA11</f>
        <v>7802.533095610363</v>
      </c>
      <c r="BE11" s="30">
        <f>3513152.23/206520.5*D11</f>
        <v>32862.14917121545</v>
      </c>
      <c r="BF11" s="40">
        <f>548217.52/206520.5*D11</f>
        <v>5128.045908933979</v>
      </c>
      <c r="BG11" s="30">
        <v>50904.9</v>
      </c>
      <c r="BH11" s="30">
        <v>1323.7</v>
      </c>
      <c r="BI11" s="30">
        <v>1.18</v>
      </c>
      <c r="BJ11" s="30">
        <v>14019.26</v>
      </c>
      <c r="BK11" s="30">
        <v>13537.37</v>
      </c>
      <c r="BL11" s="42"/>
      <c r="BM11" s="42"/>
      <c r="BN11" s="43"/>
      <c r="BO11" s="44"/>
      <c r="BP11" s="44"/>
      <c r="BQ11" s="44"/>
      <c r="BR11" s="44"/>
      <c r="BS11" s="45">
        <v>0.85</v>
      </c>
      <c r="BT11" s="46">
        <v>4398.89</v>
      </c>
      <c r="BU11" s="47">
        <v>4005.44</v>
      </c>
    </row>
    <row r="12" spans="1:73" ht="10.5" customHeight="1">
      <c r="A12" s="27">
        <v>3</v>
      </c>
      <c r="B12" s="28" t="s">
        <v>79</v>
      </c>
      <c r="C12" s="29">
        <v>3</v>
      </c>
      <c r="D12" s="30">
        <v>670.3</v>
      </c>
      <c r="E12" s="31">
        <v>1958</v>
      </c>
      <c r="F12" s="32">
        <v>2</v>
      </c>
      <c r="G12" s="32">
        <v>2</v>
      </c>
      <c r="H12" s="32"/>
      <c r="I12" s="32">
        <v>12</v>
      </c>
      <c r="J12" s="32"/>
      <c r="K12" s="33">
        <v>67</v>
      </c>
      <c r="L12" s="34"/>
      <c r="M12" s="35"/>
      <c r="N12" s="35"/>
      <c r="O12" s="35"/>
      <c r="P12" s="32"/>
      <c r="Q12" s="36" t="s">
        <v>86</v>
      </c>
      <c r="R12" s="36" t="s">
        <v>87</v>
      </c>
      <c r="S12" s="35">
        <v>570</v>
      </c>
      <c r="T12" s="37">
        <v>11.55</v>
      </c>
      <c r="U12" s="37">
        <v>76917.33</v>
      </c>
      <c r="V12" s="37">
        <v>71239.91</v>
      </c>
      <c r="W12" s="38">
        <f>V12/U12*100</f>
        <v>92.61880255073856</v>
      </c>
      <c r="X12" s="37">
        <f>V12-Y12</f>
        <v>-54036.674877121215</v>
      </c>
      <c r="Y12" s="37">
        <f>Z12*1.18</f>
        <v>125276.58487712122</v>
      </c>
      <c r="Z12" s="37">
        <f>AA12+AG12+AR12+AZ12+BE12+BF12</f>
        <v>106166.59735349256</v>
      </c>
      <c r="AA12" s="30">
        <f>AE12+AF12</f>
        <v>36599.0137392947</v>
      </c>
      <c r="AB12" s="30">
        <v>0.71</v>
      </c>
      <c r="AC12" s="30">
        <f>3335677.04/79.4*AB12</f>
        <v>29827.84254911838</v>
      </c>
      <c r="AD12" s="30">
        <f>529475.59/3335677.04*AC12</f>
        <v>4734.605401763223</v>
      </c>
      <c r="AE12" s="30">
        <f>AC12+AD12</f>
        <v>34562.4479508816</v>
      </c>
      <c r="AF12" s="30">
        <f>227751.16/79.4*AB12</f>
        <v>2036.565788413098</v>
      </c>
      <c r="AG12" s="30">
        <f>AI12+AJ12+AK12+AL12+AM12+AO12+AP12+AQ12</f>
        <v>33593.28116676121</v>
      </c>
      <c r="AH12" s="30">
        <f>0.247+0.018</f>
        <v>0.265</v>
      </c>
      <c r="AI12" s="30">
        <f>4838591.15/63.3*AH12</f>
        <v>20256.345256714063</v>
      </c>
      <c r="AJ12" s="30">
        <f>965412.23/4838591.15*AI12</f>
        <v>4041.6151808846766</v>
      </c>
      <c r="AK12" s="39">
        <v>2505.66</v>
      </c>
      <c r="AL12" s="40">
        <f>123624.91/74.3*(AH12+AN12)</f>
        <v>500.32732982439194</v>
      </c>
      <c r="AM12" s="40"/>
      <c r="AN12" s="37">
        <f>11/206520.5*D12</f>
        <v>0.03570250895189581</v>
      </c>
      <c r="AO12" s="37">
        <f>1348323.71/11*AN12</f>
        <v>4376.230847848034</v>
      </c>
      <c r="AP12" s="30">
        <f>277648.69/1348323.71*AO12</f>
        <v>901.1595309279222</v>
      </c>
      <c r="AQ12" s="30">
        <f>311781.26/206520.5*D12</f>
        <v>1011.9430205621234</v>
      </c>
      <c r="AR12" s="30">
        <f>AS12+AT12+AU12+AV12+AW12+AX12+AY12</f>
        <v>4047.7938278032707</v>
      </c>
      <c r="AS12" s="30">
        <f>115*2.6*9</f>
        <v>2691</v>
      </c>
      <c r="AT12" s="40">
        <f>145379.72/206520.5*D12</f>
        <v>471.8564322476461</v>
      </c>
      <c r="AU12" s="30"/>
      <c r="AV12" s="30">
        <f>20083.92/4341*I12</f>
        <v>55.51878369039392</v>
      </c>
      <c r="AW12" s="30">
        <f>46783.76/1064*I12</f>
        <v>527.6363909774436</v>
      </c>
      <c r="AX12" s="30">
        <f>21076.61/58093.7*D12</f>
        <v>243.18732810958846</v>
      </c>
      <c r="AY12" s="30">
        <f>18053.18/206520.5*D12</f>
        <v>58.59489277819877</v>
      </c>
      <c r="AZ12" s="42">
        <f>BB12+BC12+BD12</f>
        <v>18744.591359966686</v>
      </c>
      <c r="BA12" s="42">
        <f>37.6/206520.5*D12</f>
        <v>0.12203766696284388</v>
      </c>
      <c r="BB12" s="30">
        <f>4053113.48/37.6*BA12</f>
        <v>13155.120027522691</v>
      </c>
      <c r="BC12" s="30">
        <f>887989.5/4053113.48*BB12</f>
        <v>2882.1320975399535</v>
      </c>
      <c r="BD12" s="30">
        <f>834135.54/37.6*BA12</f>
        <v>2707.339234904041</v>
      </c>
      <c r="BE12" s="30">
        <f>3513152.23/206520.5*D12</f>
        <v>11402.577176449795</v>
      </c>
      <c r="BF12" s="40">
        <f>548217.52/206520.5*D12</f>
        <v>1779.3400832169202</v>
      </c>
      <c r="BG12" s="30">
        <v>17796.87</v>
      </c>
      <c r="BH12" s="30">
        <v>327.2</v>
      </c>
      <c r="BI12" s="30">
        <v>1.18</v>
      </c>
      <c r="BJ12" s="48">
        <v>-6576.72</v>
      </c>
      <c r="BK12" s="30">
        <v>1258.32</v>
      </c>
      <c r="BL12" s="42"/>
      <c r="BM12" s="42"/>
      <c r="BN12" s="43"/>
      <c r="BO12" s="44"/>
      <c r="BP12" s="44"/>
      <c r="BQ12" s="44"/>
      <c r="BR12" s="44"/>
      <c r="BS12" s="45">
        <v>0.85</v>
      </c>
      <c r="BT12" s="46">
        <v>-3578.11</v>
      </c>
      <c r="BU12" s="47">
        <v>509.42</v>
      </c>
    </row>
    <row r="13" spans="1:73" ht="11.25" customHeight="1">
      <c r="A13" s="27">
        <v>4</v>
      </c>
      <c r="B13" s="28" t="s">
        <v>79</v>
      </c>
      <c r="C13" s="29" t="s">
        <v>88</v>
      </c>
      <c r="D13" s="30">
        <v>1903.6</v>
      </c>
      <c r="E13" s="31">
        <v>1958</v>
      </c>
      <c r="F13" s="32">
        <v>4</v>
      </c>
      <c r="G13" s="32">
        <v>3</v>
      </c>
      <c r="H13" s="32"/>
      <c r="I13" s="32">
        <v>30</v>
      </c>
      <c r="J13" s="32"/>
      <c r="K13" s="33">
        <v>187</v>
      </c>
      <c r="L13" s="34">
        <f>243+564+483</f>
        <v>1290</v>
      </c>
      <c r="M13" s="35">
        <v>0</v>
      </c>
      <c r="N13" s="35">
        <v>0</v>
      </c>
      <c r="O13" s="35">
        <v>2674</v>
      </c>
      <c r="P13" s="32"/>
      <c r="Q13" s="36" t="s">
        <v>84</v>
      </c>
      <c r="R13" s="36" t="s">
        <v>85</v>
      </c>
      <c r="S13" s="35">
        <v>1092</v>
      </c>
      <c r="T13" s="37">
        <v>16.95</v>
      </c>
      <c r="U13" s="37">
        <v>290394.9</v>
      </c>
      <c r="V13" s="37">
        <v>288347.67</v>
      </c>
      <c r="W13" s="38">
        <f>V13/U13*100</f>
        <v>99.29501861086402</v>
      </c>
      <c r="X13" s="37">
        <f>V13-Y13</f>
        <v>-58354.12313305738</v>
      </c>
      <c r="Y13" s="37">
        <f>Z13*1.18</f>
        <v>346701.79313305736</v>
      </c>
      <c r="Z13" s="37">
        <f>AA13+AG13+AR13+AZ13+BE13+BF13</f>
        <v>293815.07892631984</v>
      </c>
      <c r="AA13" s="30">
        <f>AE13+AF13</f>
        <v>47424.074141057936</v>
      </c>
      <c r="AB13" s="30">
        <v>0.92</v>
      </c>
      <c r="AC13" s="30">
        <f>3335677.04/79.4*AB13</f>
        <v>38650.16217632242</v>
      </c>
      <c r="AD13" s="30">
        <f>529475.59/3335677.04*AC13</f>
        <v>6134.981647355164</v>
      </c>
      <c r="AE13" s="30">
        <f>AC13+AD13</f>
        <v>44785.14382367758</v>
      </c>
      <c r="AF13" s="30">
        <f>227751.16/79.4*AB13</f>
        <v>2638.930317380353</v>
      </c>
      <c r="AG13" s="30">
        <f>AI13+AJ13+AK13+AL13+AM13+AO13+AP13+AQ13</f>
        <v>130855.46852597059</v>
      </c>
      <c r="AH13" s="30">
        <f>0.61+0.018</f>
        <v>0.628</v>
      </c>
      <c r="AI13" s="30">
        <f>4838591.15/63.3*AH13</f>
        <v>48003.7163064771</v>
      </c>
      <c r="AJ13" s="30">
        <f>965412.23/4838591.15*AI13</f>
        <v>9577.86540979463</v>
      </c>
      <c r="AK13" s="39">
        <v>14541.81</v>
      </c>
      <c r="AL13" s="40">
        <f>123624.91/74.3*(AH13+AN13)</f>
        <v>1213.6078644803351</v>
      </c>
      <c r="AM13" s="30">
        <f>35378.73+4278.52</f>
        <v>39657.25</v>
      </c>
      <c r="AN13" s="37">
        <f>11/206520.5*D13</f>
        <v>0.10139235572255538</v>
      </c>
      <c r="AO13" s="37">
        <f>1348323.71/11*AN13</f>
        <v>12428.156112134146</v>
      </c>
      <c r="AP13" s="30">
        <f>277648.69/1348323.71*AO13</f>
        <v>2559.223158398319</v>
      </c>
      <c r="AQ13" s="30">
        <f>311781.26/206520.5*D13</f>
        <v>2873.839674686048</v>
      </c>
      <c r="AR13" s="30">
        <f>AS13+AT13+AU13+AV13+AW13+AX13+AY13</f>
        <v>24866.72854881221</v>
      </c>
      <c r="AS13" s="30">
        <f>936*2.6*9</f>
        <v>21902.399999999998</v>
      </c>
      <c r="AT13" s="40">
        <f>145379.72/206520.5*D13</f>
        <v>1340.0356622805</v>
      </c>
      <c r="AU13" s="30"/>
      <c r="AV13" s="30">
        <f>20083.92/4341*I13</f>
        <v>138.79695922598478</v>
      </c>
      <c r="AW13" s="30">
        <f>46783.76/1064*I13</f>
        <v>1319.090977443609</v>
      </c>
      <c r="AX13" s="30"/>
      <c r="AY13" s="30">
        <f>18053.18/206520.5*D13</f>
        <v>166.40494986212022</v>
      </c>
      <c r="AZ13" s="42">
        <f>BB13+BC13+BD13</f>
        <v>53233.18530931312</v>
      </c>
      <c r="BA13" s="42">
        <f>37.6/206520.5*D13</f>
        <v>0.34657750683346206</v>
      </c>
      <c r="BB13" s="30">
        <f>4053113.48/37.6*BA13</f>
        <v>37359.52034073131</v>
      </c>
      <c r="BC13" s="30">
        <f>887989.5/4053113.48*BB13</f>
        <v>8185.0315692631</v>
      </c>
      <c r="BD13" s="30">
        <f>834135.54/37.6*BA13</f>
        <v>7688.633399318712</v>
      </c>
      <c r="BE13" s="30">
        <f>3513152.23/206520.5*D13</f>
        <v>32382.434601058976</v>
      </c>
      <c r="BF13" s="40">
        <f>548217.52/206520.5*D13</f>
        <v>5053.187800107011</v>
      </c>
      <c r="BG13" s="30">
        <v>50001.55</v>
      </c>
      <c r="BH13" s="30">
        <v>917.2</v>
      </c>
      <c r="BI13" s="30">
        <v>1.18</v>
      </c>
      <c r="BJ13" s="30">
        <v>9359.79</v>
      </c>
      <c r="BK13" s="30">
        <v>9247</v>
      </c>
      <c r="BL13" s="42"/>
      <c r="BM13" s="42"/>
      <c r="BN13" s="43"/>
      <c r="BO13" s="44"/>
      <c r="BP13" s="44"/>
      <c r="BQ13" s="44"/>
      <c r="BR13" s="44"/>
      <c r="BS13" s="45">
        <v>0.85</v>
      </c>
      <c r="BT13" s="46">
        <v>7383.84</v>
      </c>
      <c r="BU13" s="47">
        <v>7398.67</v>
      </c>
    </row>
    <row r="14" spans="1:73" ht="9.75" customHeight="1">
      <c r="A14" s="27">
        <v>5</v>
      </c>
      <c r="B14" s="28" t="s">
        <v>79</v>
      </c>
      <c r="C14" s="29">
        <v>5</v>
      </c>
      <c r="D14" s="30">
        <v>667.5</v>
      </c>
      <c r="E14" s="31">
        <v>1958</v>
      </c>
      <c r="F14" s="32">
        <v>2</v>
      </c>
      <c r="G14" s="32">
        <v>2</v>
      </c>
      <c r="H14" s="32"/>
      <c r="I14" s="32">
        <v>12</v>
      </c>
      <c r="J14" s="32"/>
      <c r="K14" s="33">
        <v>71.4</v>
      </c>
      <c r="L14" s="34">
        <f>211+320</f>
        <v>531</v>
      </c>
      <c r="M14" s="35">
        <v>0</v>
      </c>
      <c r="N14" s="35">
        <v>0</v>
      </c>
      <c r="O14" s="35">
        <v>3851</v>
      </c>
      <c r="P14" s="32"/>
      <c r="Q14" s="36" t="s">
        <v>86</v>
      </c>
      <c r="R14" s="36" t="s">
        <v>87</v>
      </c>
      <c r="S14" s="35">
        <v>565</v>
      </c>
      <c r="T14" s="37">
        <v>11.55</v>
      </c>
      <c r="U14" s="37">
        <v>76595.85</v>
      </c>
      <c r="V14" s="37">
        <v>67149.28</v>
      </c>
      <c r="W14" s="38">
        <f>V14/U14*100</f>
        <v>87.6669950134374</v>
      </c>
      <c r="X14" s="37">
        <f>V14-Y14</f>
        <v>-56431.7807503011</v>
      </c>
      <c r="Y14" s="37">
        <f>Z14*1.18</f>
        <v>123581.0607503011</v>
      </c>
      <c r="Z14" s="37">
        <f>AA14+AG14+AR14+AZ14+BE14+BF14</f>
        <v>104729.71250025518</v>
      </c>
      <c r="AA14" s="30">
        <f>AE14+AF14</f>
        <v>38145.450939546594</v>
      </c>
      <c r="AB14" s="30">
        <v>0.74</v>
      </c>
      <c r="AC14" s="30">
        <f>3335677.04/79.4*AB14</f>
        <v>31088.173924433246</v>
      </c>
      <c r="AD14" s="30">
        <f>529475.59/3335677.04*AC14</f>
        <v>4934.659151133501</v>
      </c>
      <c r="AE14" s="30">
        <f>AC14+AD14</f>
        <v>36022.83307556675</v>
      </c>
      <c r="AF14" s="30">
        <f>227751.16/79.4*AB14</f>
        <v>2122.6178639798486</v>
      </c>
      <c r="AG14" s="30">
        <f>AI14+AJ14+AK14+AL14+AM14+AO14+AP14+AQ14</f>
        <v>31305.455282694173</v>
      </c>
      <c r="AH14" s="30">
        <f>0.248+0.018</f>
        <v>0.266</v>
      </c>
      <c r="AI14" s="30">
        <f>4838591.15/63.3*AH14</f>
        <v>20332.784295418645</v>
      </c>
      <c r="AJ14" s="30">
        <f>965412.23/4838591.15*AI14</f>
        <v>4056.866558925751</v>
      </c>
      <c r="AK14" s="39">
        <v>151</v>
      </c>
      <c r="AL14" s="40">
        <f>123624.91/74.3*(AH14+AN14)</f>
        <v>501.74304679201265</v>
      </c>
      <c r="AM14" s="40"/>
      <c r="AN14" s="37">
        <f>11/206520.5*D14</f>
        <v>0.03555337121496413</v>
      </c>
      <c r="AO14" s="37">
        <f>1348323.71/11*AN14</f>
        <v>4357.950307233422</v>
      </c>
      <c r="AP14" s="30">
        <f>277648.69/1348323.71*AO14</f>
        <v>897.3951766289545</v>
      </c>
      <c r="AQ14" s="30">
        <f>311781.26/206520.5*D14</f>
        <v>1007.7158976953863</v>
      </c>
      <c r="AR14" s="30">
        <f>AS14+AT14+AU14+AV14+AW14+AX14+AY14</f>
        <v>3485.662158060202</v>
      </c>
      <c r="AS14" s="30">
        <f>115*2.06*9</f>
        <v>2132.1</v>
      </c>
      <c r="AT14" s="40">
        <f>145379.72/206520.5*D14</f>
        <v>469.885377480686</v>
      </c>
      <c r="AU14" s="30"/>
      <c r="AV14" s="30">
        <f>20083.92/4341*I14</f>
        <v>55.51878369039392</v>
      </c>
      <c r="AW14" s="30">
        <f>46783.76/1064*I14</f>
        <v>527.6363909774436</v>
      </c>
      <c r="AX14" s="30">
        <f>21076.61/58093.7*D14</f>
        <v>242.17147771617235</v>
      </c>
      <c r="AY14" s="30">
        <f>18053.18/206520.5*D14</f>
        <v>58.35012819550602</v>
      </c>
      <c r="AZ14" s="42">
        <f>BB14+BC14+BD14</f>
        <v>18666.290814229094</v>
      </c>
      <c r="BA14" s="42">
        <f>37.6/206520.5*D14</f>
        <v>0.1215278870620592</v>
      </c>
      <c r="BB14" s="30">
        <f>4053113.48/37.6*BA14</f>
        <v>13100.168011892281</v>
      </c>
      <c r="BC14" s="30">
        <f>887989.5/4053113.48*BB14</f>
        <v>2870.09275713549</v>
      </c>
      <c r="BD14" s="30">
        <f>834135.54/37.6*BA14</f>
        <v>2696.030045201324</v>
      </c>
      <c r="BE14" s="30">
        <f>3513152.23/206520.5*D14</f>
        <v>11354.94594253355</v>
      </c>
      <c r="BF14" s="40">
        <f>548217.52/206520.5*D14</f>
        <v>1771.9073631915476</v>
      </c>
      <c r="BG14" s="30">
        <v>17031.54</v>
      </c>
      <c r="BH14" s="30">
        <v>193.7</v>
      </c>
      <c r="BI14" s="30">
        <v>1.18</v>
      </c>
      <c r="BJ14" s="30">
        <v>-5356.55</v>
      </c>
      <c r="BK14" s="30">
        <v>829.76</v>
      </c>
      <c r="BL14" s="42"/>
      <c r="BM14" s="42"/>
      <c r="BN14" s="43"/>
      <c r="BO14" s="44"/>
      <c r="BP14" s="44"/>
      <c r="BQ14" s="44"/>
      <c r="BR14" s="44"/>
      <c r="BS14" s="45">
        <v>0.85</v>
      </c>
      <c r="BT14" s="46">
        <v>-4348.87</v>
      </c>
      <c r="BU14" s="47">
        <v>680.78</v>
      </c>
    </row>
    <row r="15" spans="1:73" ht="9.75" customHeight="1">
      <c r="A15" s="27">
        <v>6</v>
      </c>
      <c r="B15" s="28" t="s">
        <v>79</v>
      </c>
      <c r="C15" s="29" t="s">
        <v>89</v>
      </c>
      <c r="D15" s="30">
        <v>2377.5</v>
      </c>
      <c r="E15" s="31">
        <v>1962</v>
      </c>
      <c r="F15" s="32">
        <v>4</v>
      </c>
      <c r="G15" s="32">
        <v>4</v>
      </c>
      <c r="H15" s="32"/>
      <c r="I15" s="32">
        <v>60</v>
      </c>
      <c r="J15" s="32"/>
      <c r="K15" s="33">
        <v>205.1</v>
      </c>
      <c r="L15" s="34">
        <v>918</v>
      </c>
      <c r="M15" s="35">
        <v>0</v>
      </c>
      <c r="N15" s="35">
        <v>0</v>
      </c>
      <c r="O15" s="35">
        <v>206</v>
      </c>
      <c r="P15" s="32"/>
      <c r="Q15" s="36" t="s">
        <v>84</v>
      </c>
      <c r="R15" s="36" t="s">
        <v>85</v>
      </c>
      <c r="S15" s="35">
        <v>1094</v>
      </c>
      <c r="T15" s="37">
        <v>16.95</v>
      </c>
      <c r="U15" s="37">
        <v>362685.45</v>
      </c>
      <c r="V15" s="37">
        <v>319895.23</v>
      </c>
      <c r="W15" s="38">
        <f>V15/U15*100</f>
        <v>88.20183715668769</v>
      </c>
      <c r="X15" s="37">
        <f>V15-Y15</f>
        <v>2151.6897964032833</v>
      </c>
      <c r="Y15" s="37">
        <f>Z15*1.18</f>
        <v>317743.5402035967</v>
      </c>
      <c r="Z15" s="37">
        <f>AA15+AG15+AR15+AZ15+BE15+BF15</f>
        <v>269274.1866132176</v>
      </c>
      <c r="AA15" s="30">
        <f>AE15+AF15</f>
        <v>27320.390537783373</v>
      </c>
      <c r="AB15" s="30">
        <v>0.53</v>
      </c>
      <c r="AC15" s="30">
        <f>3335677.04/79.4*AB15</f>
        <v>22265.854297229216</v>
      </c>
      <c r="AD15" s="30">
        <f>529475.59/3335677.04*AC15</f>
        <v>3534.2829055415614</v>
      </c>
      <c r="AE15" s="30">
        <f>AC15+AD15</f>
        <v>25800.137202770777</v>
      </c>
      <c r="AF15" s="30">
        <f>227751.16/79.4*AB15</f>
        <v>1520.2533350125946</v>
      </c>
      <c r="AG15" s="30">
        <f>AI15+AJ15+AK15+AL15+AM15+AO15+AP15+AQ15</f>
        <v>107746.40288383844</v>
      </c>
      <c r="AH15" s="30">
        <f>0.836+0.018</f>
        <v>0.854</v>
      </c>
      <c r="AI15" s="30">
        <f>4838591.15/63.3*AH15</f>
        <v>65278.939053712485</v>
      </c>
      <c r="AJ15" s="30">
        <f>965412.23/4838591.15*AI15</f>
        <v>13024.67684707741</v>
      </c>
      <c r="AK15" s="39">
        <v>5503.39</v>
      </c>
      <c r="AL15" s="40">
        <f>123624.91/74.3*(AH15+AN15)</f>
        <v>1631.639028511342</v>
      </c>
      <c r="AM15" s="40"/>
      <c r="AN15" s="37">
        <f>11/206520.5*D15</f>
        <v>0.12663391769824303</v>
      </c>
      <c r="AO15" s="37">
        <f>1348323.71/11*AN15</f>
        <v>15522.137611157244</v>
      </c>
      <c r="AP15" s="30">
        <f>277648.69/1348323.71*AO15</f>
        <v>3196.3401234986354</v>
      </c>
      <c r="AQ15" s="30">
        <f>311781.26/206520.5*D15</f>
        <v>3589.2802198813197</v>
      </c>
      <c r="AR15" s="30">
        <f>AS15+AT15+AU15+AV15+AW15+AX15+AY15</f>
        <v>20966.643910410574</v>
      </c>
      <c r="AS15" s="30">
        <f>691*2.6*9</f>
        <v>16169.400000000001</v>
      </c>
      <c r="AT15" s="40">
        <f>145379.72/206520.5*D15</f>
        <v>1673.6366815885108</v>
      </c>
      <c r="AU15" s="30"/>
      <c r="AV15" s="30">
        <f>20083.92/4341*I15</f>
        <v>277.59391845196956</v>
      </c>
      <c r="AW15" s="30">
        <f>46783.76/1064*I15</f>
        <v>2638.181954887218</v>
      </c>
      <c r="AX15" s="30"/>
      <c r="AY15" s="30">
        <f>18053.18/206520.5*D15</f>
        <v>207.83135548286972</v>
      </c>
      <c r="AZ15" s="42">
        <f>BB15+BC15+BD15</f>
        <v>66485.55267540026</v>
      </c>
      <c r="BA15" s="42">
        <f>37.6/206520.5*D15</f>
        <v>0.43285775504126706</v>
      </c>
      <c r="BB15" s="30">
        <f>4053113.48/37.6*BA15</f>
        <v>46660.14898617812</v>
      </c>
      <c r="BC15" s="30">
        <f>887989.5/4053113.48*BB15</f>
        <v>10222.689932718542</v>
      </c>
      <c r="BD15" s="30">
        <f>834135.54/37.6*BA15</f>
        <v>9602.713756503592</v>
      </c>
      <c r="BE15" s="30">
        <f>3513152.23/206520.5*D15</f>
        <v>40444.02094138355</v>
      </c>
      <c r="BF15" s="40">
        <f>548217.52/206520.5*D15</f>
        <v>6311.175664401355</v>
      </c>
      <c r="BG15" s="30">
        <v>60383.18</v>
      </c>
      <c r="BH15" s="30">
        <v>1642.5</v>
      </c>
      <c r="BI15" s="30">
        <v>1.18</v>
      </c>
      <c r="BJ15" s="30">
        <v>16552.16</v>
      </c>
      <c r="BK15" s="30">
        <v>14984.01</v>
      </c>
      <c r="BL15" s="42"/>
      <c r="BM15" s="42"/>
      <c r="BN15" s="43"/>
      <c r="BO15" s="44"/>
      <c r="BP15" s="44"/>
      <c r="BQ15" s="44"/>
      <c r="BR15" s="44"/>
      <c r="BS15" s="45">
        <v>0.85</v>
      </c>
      <c r="BT15" s="46">
        <v>4595.59</v>
      </c>
      <c r="BU15" s="47">
        <v>10069.15</v>
      </c>
    </row>
    <row r="16" spans="1:73" ht="10.5" customHeight="1">
      <c r="A16" s="27">
        <v>7</v>
      </c>
      <c r="B16" s="28" t="s">
        <v>79</v>
      </c>
      <c r="C16" s="29" t="s">
        <v>90</v>
      </c>
      <c r="D16" s="37">
        <v>20491.5</v>
      </c>
      <c r="E16" s="49" t="s">
        <v>91</v>
      </c>
      <c r="F16" s="32">
        <v>8</v>
      </c>
      <c r="G16" s="32">
        <v>9</v>
      </c>
      <c r="H16" s="32">
        <v>8</v>
      </c>
      <c r="I16" s="32">
        <v>393</v>
      </c>
      <c r="J16" s="32"/>
      <c r="K16" s="50">
        <v>2730.2</v>
      </c>
      <c r="L16" s="34">
        <f>1671+586</f>
        <v>2257</v>
      </c>
      <c r="M16" s="35">
        <v>0</v>
      </c>
      <c r="N16" s="35">
        <v>455</v>
      </c>
      <c r="O16" s="35">
        <v>4131</v>
      </c>
      <c r="P16" s="32"/>
      <c r="Q16" s="36" t="s">
        <v>84</v>
      </c>
      <c r="R16" s="36" t="s">
        <v>81</v>
      </c>
      <c r="S16" s="35">
        <v>4012</v>
      </c>
      <c r="T16" s="37">
        <v>23.21</v>
      </c>
      <c r="U16" s="37">
        <v>4280507.49</v>
      </c>
      <c r="V16" s="37">
        <v>4065805.93</v>
      </c>
      <c r="W16" s="38">
        <f>V16/U16*100</f>
        <v>94.9842031464358</v>
      </c>
      <c r="X16" s="37">
        <f>V16-Y16</f>
        <v>118031.53552918229</v>
      </c>
      <c r="Y16" s="37">
        <f>Z16*1.18</f>
        <v>3947774.394470818</v>
      </c>
      <c r="Z16" s="37">
        <f>AA16+AG16+AR16+AZ16+BE16+BF16</f>
        <v>3345571.5207379814</v>
      </c>
      <c r="AA16" s="30">
        <f>AE16+AF16</f>
        <v>216501.20803526446</v>
      </c>
      <c r="AB16" s="30">
        <v>4.2</v>
      </c>
      <c r="AC16" s="30">
        <f>3335677.04/79.4*AB16</f>
        <v>176446.3925440806</v>
      </c>
      <c r="AD16" s="30">
        <f>529475.59/3335677.04*AC16</f>
        <v>28007.524911838787</v>
      </c>
      <c r="AE16" s="30">
        <f>AC16+AD16</f>
        <v>204453.91745591938</v>
      </c>
      <c r="AF16" s="30">
        <f>227751.16/79.4*AB16</f>
        <v>12047.290579345088</v>
      </c>
      <c r="AG16" s="37">
        <f>AI16+AJ16+AK16+AL16+AM16+AO16+AP16+AQ16</f>
        <v>1042203.401923784</v>
      </c>
      <c r="AH16" s="30">
        <f>6.145+0.02</f>
        <v>6.164999999999999</v>
      </c>
      <c r="AI16" s="30">
        <f>4838591.15/63.3*AH16</f>
        <v>471246.6736137441</v>
      </c>
      <c r="AJ16" s="30">
        <f>965412.23/4838591.15*AI16</f>
        <v>94024.74562322274</v>
      </c>
      <c r="AK16" s="39">
        <f>58128.27+6444.19</f>
        <v>64572.46</v>
      </c>
      <c r="AL16" s="40">
        <f>123624.91/74.3*(AH16+AN16)</f>
        <v>12073.725420613615</v>
      </c>
      <c r="AM16" s="37">
        <f>6382.77+201634.08</f>
        <v>208016.84999999998</v>
      </c>
      <c r="AN16" s="37">
        <f>11/206520.5*D16</f>
        <v>1.0914485486912922</v>
      </c>
      <c r="AO16" s="37">
        <f>1348323.71/11*AN16</f>
        <v>133784.17785868715</v>
      </c>
      <c r="AP16" s="30">
        <f>277648.69/1348323.71*AO16</f>
        <v>27549.023613321682</v>
      </c>
      <c r="AQ16" s="30">
        <f>311781.26/206520.5*D16</f>
        <v>30935.74579419477</v>
      </c>
      <c r="AR16" s="30">
        <f>AS16+AT16+AU16+AV16+AW16+AX16+AY16</f>
        <v>1110853.108930182</v>
      </c>
      <c r="AS16" s="30">
        <f>17424*2.6*9</f>
        <v>407721.60000000003</v>
      </c>
      <c r="AT16" s="40">
        <f>145379.72/206520.5*D16</f>
        <v>14424.953127558767</v>
      </c>
      <c r="AU16" s="30">
        <f>84707.83*8</f>
        <v>677662.64</v>
      </c>
      <c r="AV16" s="30">
        <f>20083.92/4341*I16</f>
        <v>1818.2401658604006</v>
      </c>
      <c r="AW16" s="30"/>
      <c r="AX16" s="30">
        <f>21076.61/58093.7*D16</f>
        <v>7434.39226310254</v>
      </c>
      <c r="AY16" s="30">
        <f>18053.18/206520.5*D16</f>
        <v>1791.283373660242</v>
      </c>
      <c r="AZ16" s="42">
        <f>BB16+BC16+BD16</f>
        <v>573034.1546363679</v>
      </c>
      <c r="BA16" s="42">
        <f>37.6/206520.5*D16</f>
        <v>3.7307695846175077</v>
      </c>
      <c r="BB16" s="30">
        <f>4053113.48/37.6*BA16</f>
        <v>402160.43867519207</v>
      </c>
      <c r="BC16" s="30">
        <f>887989.5/4053113.48*BB16</f>
        <v>88108.62282073693</v>
      </c>
      <c r="BD16" s="30">
        <f>834135.54/37.6*BA16</f>
        <v>82765.09314043885</v>
      </c>
      <c r="BE16" s="30">
        <f>3513152.23/206520.5*D16</f>
        <v>348584.08206955245</v>
      </c>
      <c r="BF16" s="40">
        <f>548217.52/206520.5*D16</f>
        <v>54395.565142830856</v>
      </c>
      <c r="BG16" s="30">
        <v>536236.2</v>
      </c>
      <c r="BH16" s="30">
        <v>13953.5</v>
      </c>
      <c r="BI16" s="30">
        <v>1.18</v>
      </c>
      <c r="BJ16" s="30">
        <v>146665.25</v>
      </c>
      <c r="BK16" s="30">
        <v>141371.46</v>
      </c>
      <c r="BL16" s="42">
        <v>2010</v>
      </c>
      <c r="BM16" s="42" t="s">
        <v>92</v>
      </c>
      <c r="BN16" s="43">
        <f>23068.57+18637.72</f>
        <v>41706.29</v>
      </c>
      <c r="BO16" s="44"/>
      <c r="BP16" s="44"/>
      <c r="BQ16" s="44"/>
      <c r="BR16" s="44"/>
      <c r="BS16" s="45">
        <v>1.06</v>
      </c>
      <c r="BT16" s="46">
        <v>56434.31</v>
      </c>
      <c r="BU16" s="47">
        <v>51455.44</v>
      </c>
    </row>
    <row r="17" spans="1:73" ht="9.75" customHeight="1">
      <c r="A17" s="27">
        <v>8</v>
      </c>
      <c r="B17" s="28" t="s">
        <v>79</v>
      </c>
      <c r="C17" s="29">
        <v>11</v>
      </c>
      <c r="D17" s="30">
        <v>3034.5</v>
      </c>
      <c r="E17" s="31">
        <v>1968</v>
      </c>
      <c r="F17" s="32">
        <v>4</v>
      </c>
      <c r="G17" s="32">
        <v>5</v>
      </c>
      <c r="H17" s="32"/>
      <c r="I17" s="32">
        <v>67</v>
      </c>
      <c r="J17" s="32"/>
      <c r="K17" s="33">
        <v>325.9</v>
      </c>
      <c r="L17" s="34">
        <v>1387.8</v>
      </c>
      <c r="M17" s="35">
        <v>0</v>
      </c>
      <c r="N17" s="35">
        <v>1200</v>
      </c>
      <c r="O17" s="35">
        <v>1007.2</v>
      </c>
      <c r="P17" s="32"/>
      <c r="Q17" s="36" t="s">
        <v>84</v>
      </c>
      <c r="R17" s="36" t="s">
        <v>85</v>
      </c>
      <c r="S17" s="35">
        <v>1101</v>
      </c>
      <c r="T17" s="37">
        <v>16.95</v>
      </c>
      <c r="U17" s="37">
        <v>462914.37</v>
      </c>
      <c r="V17" s="37">
        <v>440860.66</v>
      </c>
      <c r="W17" s="38">
        <f>V17/U17*100</f>
        <v>95.23589859610536</v>
      </c>
      <c r="X17" s="37">
        <f>V17-Y17</f>
        <v>-66530.37320662919</v>
      </c>
      <c r="Y17" s="37">
        <f>Z17*1.18</f>
        <v>507391.03320662916</v>
      </c>
      <c r="Z17" s="37">
        <f>AA17+AG17+AR17+AZ17+BE17+BF17</f>
        <v>429992.4010225671</v>
      </c>
      <c r="AA17" s="30">
        <f>AE17+AF17</f>
        <v>73713.50654534003</v>
      </c>
      <c r="AB17" s="30">
        <v>1.43</v>
      </c>
      <c r="AC17" s="30">
        <f>3335677.04/79.4*AB17</f>
        <v>60075.79555667505</v>
      </c>
      <c r="AD17" s="30">
        <f>529475.59/3335677.04*AC17</f>
        <v>9535.895386649872</v>
      </c>
      <c r="AE17" s="30">
        <f>AC17+AD17</f>
        <v>69611.69094332492</v>
      </c>
      <c r="AF17" s="30">
        <f>227751.16/79.4*AB17</f>
        <v>4101.815602015113</v>
      </c>
      <c r="AG17" s="30">
        <f>AI17+AJ17+AK17+AL17+AM17+AO17+AP17+AQ17</f>
        <v>176694.9438540937</v>
      </c>
      <c r="AH17" s="30">
        <f>1.024+0.018</f>
        <v>1.042</v>
      </c>
      <c r="AI17" s="30">
        <f>4838591.15/63.3*AH17</f>
        <v>79649.47833017379</v>
      </c>
      <c r="AJ17" s="30">
        <f>965412.23/4838591.15*AI17</f>
        <v>15891.93591879937</v>
      </c>
      <c r="AK17" s="39">
        <v>50678.56</v>
      </c>
      <c r="AL17" s="40">
        <f>123624.91/74.3*(AH17+AN17)</f>
        <v>2002.670335701784</v>
      </c>
      <c r="AM17" s="40"/>
      <c r="AN17" s="37">
        <f>11/206520.5*D17</f>
        <v>0.16162802239971336</v>
      </c>
      <c r="AO17" s="37">
        <f>1348323.71/11*AN17</f>
        <v>19811.535891085874</v>
      </c>
      <c r="AP17" s="30">
        <f>277648.69/1348323.71*AO17</f>
        <v>4079.618971506461</v>
      </c>
      <c r="AQ17" s="30">
        <f>311781.26/206520.5*D17</f>
        <v>4581.144406826442</v>
      </c>
      <c r="AR17" s="30">
        <f>AS17+AT17+AU17+AV17+AW17+AX17+AY17</f>
        <v>35050.17409579108</v>
      </c>
      <c r="AS17" s="30">
        <f>1382*2.6*9</f>
        <v>32338.800000000003</v>
      </c>
      <c r="AT17" s="40">
        <f>145379.72/206520.5*D17</f>
        <v>2136.130603693096</v>
      </c>
      <c r="AU17" s="30"/>
      <c r="AV17" s="30">
        <f>20083.92/4341*I17</f>
        <v>309.9798756046994</v>
      </c>
      <c r="AW17" s="30"/>
      <c r="AX17" s="30"/>
      <c r="AY17" s="30">
        <f>18053.18/206520.5*D17</f>
        <v>265.2636164932779</v>
      </c>
      <c r="AZ17" s="42">
        <f>BB17+BC17+BD17</f>
        <v>84858.21644311339</v>
      </c>
      <c r="BA17" s="42">
        <f>37.6/206520.5*D17</f>
        <v>0.5524739674753838</v>
      </c>
      <c r="BB17" s="30">
        <f>4053113.48/37.6*BA17</f>
        <v>59554.246939456374</v>
      </c>
      <c r="BC17" s="30">
        <f>887989.5/4053113.48*BB17</f>
        <v>13047.635163337296</v>
      </c>
      <c r="BD17" s="30">
        <f>834135.54/37.6*BA17</f>
        <v>12256.334340319727</v>
      </c>
      <c r="BE17" s="30">
        <f>3513152.23/206520.5*D17</f>
        <v>51620.34975673117</v>
      </c>
      <c r="BF17" s="40">
        <f>548217.52/206520.5*D17</f>
        <v>8055.210327497754</v>
      </c>
      <c r="BG17" s="30">
        <v>77253.34</v>
      </c>
      <c r="BH17" s="30">
        <v>1872.1</v>
      </c>
      <c r="BI17" s="30">
        <v>1.18</v>
      </c>
      <c r="BJ17" s="30">
        <v>19355.57</v>
      </c>
      <c r="BK17" s="30">
        <v>18370.91</v>
      </c>
      <c r="BL17" s="42"/>
      <c r="BM17" s="42"/>
      <c r="BN17" s="43"/>
      <c r="BO17" s="44"/>
      <c r="BP17" s="44"/>
      <c r="BQ17" s="44"/>
      <c r="BR17" s="44"/>
      <c r="BS17" s="45">
        <v>0.85</v>
      </c>
      <c r="BT17" s="46">
        <v>7549.95</v>
      </c>
      <c r="BU17" s="51">
        <v>7218.75</v>
      </c>
    </row>
    <row r="18" spans="1:73" ht="9.75" customHeight="1">
      <c r="A18" s="27">
        <v>9</v>
      </c>
      <c r="B18" s="28" t="s">
        <v>79</v>
      </c>
      <c r="C18" s="29" t="s">
        <v>93</v>
      </c>
      <c r="D18" s="30">
        <v>3101.2</v>
      </c>
      <c r="E18" s="31">
        <v>1968</v>
      </c>
      <c r="F18" s="32">
        <v>4</v>
      </c>
      <c r="G18" s="32">
        <v>5</v>
      </c>
      <c r="H18" s="32"/>
      <c r="I18" s="32">
        <v>69</v>
      </c>
      <c r="J18" s="32"/>
      <c r="K18" s="33">
        <v>324</v>
      </c>
      <c r="L18" s="34">
        <f>372+524</f>
        <v>896</v>
      </c>
      <c r="M18" s="35">
        <v>0</v>
      </c>
      <c r="N18" s="35">
        <v>0</v>
      </c>
      <c r="O18" s="35">
        <v>2669</v>
      </c>
      <c r="P18" s="32"/>
      <c r="Q18" s="36" t="s">
        <v>84</v>
      </c>
      <c r="R18" s="36" t="s">
        <v>85</v>
      </c>
      <c r="S18" s="35">
        <v>1088</v>
      </c>
      <c r="T18" s="37">
        <v>16.95</v>
      </c>
      <c r="U18" s="37">
        <v>473199.7</v>
      </c>
      <c r="V18" s="37">
        <v>464367.84</v>
      </c>
      <c r="W18" s="38">
        <f>V18/U18*100</f>
        <v>98.13358715147115</v>
      </c>
      <c r="X18" s="37">
        <f>V18-Y18</f>
        <v>21341.888520213135</v>
      </c>
      <c r="Y18" s="37">
        <f>Z18*1.18</f>
        <v>443025.9514797869</v>
      </c>
      <c r="Z18" s="37">
        <f>AA18+AG18+AR18+AZ18+BE18+BF18</f>
        <v>375445.72159303975</v>
      </c>
      <c r="AA18" s="30">
        <f>AE18+AF18</f>
        <v>51032.42760831234</v>
      </c>
      <c r="AB18" s="30">
        <v>0.99</v>
      </c>
      <c r="AC18" s="30">
        <f>3335677.04/79.4*AB18</f>
        <v>41590.935385390425</v>
      </c>
      <c r="AD18" s="30">
        <f>529475.59/3335677.04*AC18</f>
        <v>6601.773729219143</v>
      </c>
      <c r="AE18" s="30">
        <f>AC18+AD18</f>
        <v>48192.70911460957</v>
      </c>
      <c r="AF18" s="30">
        <f>227751.16/79.4*AB18</f>
        <v>2839.7184937027705</v>
      </c>
      <c r="AG18" s="30">
        <f>AI18+AJ18+AK18+AL18+AM18+AO18+AP18+AQ18</f>
        <v>141590.37334554136</v>
      </c>
      <c r="AH18" s="30">
        <f>1.036+0.018</f>
        <v>1.054</v>
      </c>
      <c r="AI18" s="30">
        <f>4838591.15/63.3*AH18</f>
        <v>80566.74679462877</v>
      </c>
      <c r="AJ18" s="30">
        <f>965412.23/4838591.15*AI18</f>
        <v>16074.952455292261</v>
      </c>
      <c r="AK18" s="39">
        <v>13821.99</v>
      </c>
      <c r="AL18" s="40">
        <f>123624.91/74.3*(AH18+AN18)</f>
        <v>2028.5478312204139</v>
      </c>
      <c r="AM18" s="40"/>
      <c r="AN18" s="37">
        <f>11/206520.5*D18</f>
        <v>0.16518069634733595</v>
      </c>
      <c r="AO18" s="37">
        <f>1348323.71/11*AN18</f>
        <v>20247.00448358395</v>
      </c>
      <c r="AP18" s="30">
        <f>277648.69/1348323.71*AO18</f>
        <v>4169.291268556874</v>
      </c>
      <c r="AQ18" s="30">
        <f>311781.26/206520.5*D18</f>
        <v>4681.840512259074</v>
      </c>
      <c r="AR18" s="30">
        <f>AS18+AT18+AU18+AV18+AW18+AX18+AY18</f>
        <v>35112.211208771085</v>
      </c>
      <c r="AS18" s="30">
        <f>1382*2.6*9</f>
        <v>32338.800000000003</v>
      </c>
      <c r="AT18" s="40">
        <f>145379.72/206520.5*D18</f>
        <v>2183.0839440346117</v>
      </c>
      <c r="AU18" s="30"/>
      <c r="AV18" s="30">
        <f>20083.92/4341*I18</f>
        <v>319.233006219765</v>
      </c>
      <c r="AW18" s="30"/>
      <c r="AX18" s="30"/>
      <c r="AY18" s="30">
        <f>18053.18/206520.5*D18</f>
        <v>271.094258516709</v>
      </c>
      <c r="AZ18" s="42">
        <f>BB18+BC18+BD18</f>
        <v>86723.44730050527</v>
      </c>
      <c r="BA18" s="42">
        <f>37.6/206520.5*D18</f>
        <v>0.5646176529690756</v>
      </c>
      <c r="BB18" s="30">
        <f>4053113.48/37.6*BA18</f>
        <v>60863.28245465219</v>
      </c>
      <c r="BC18" s="30">
        <f>887989.5/4053113.48*BB18</f>
        <v>13334.429450829333</v>
      </c>
      <c r="BD18" s="30">
        <f>834135.54/37.6*BA18</f>
        <v>12525.735395023738</v>
      </c>
      <c r="BE18" s="30">
        <f>3513152.23/206520.5*D18</f>
        <v>52754.99379323602</v>
      </c>
      <c r="BF18" s="40">
        <f>548217.52/206520.5*D18</f>
        <v>8232.268336673598</v>
      </c>
      <c r="BG18" s="30">
        <v>79209.89</v>
      </c>
      <c r="BH18" s="30">
        <v>2082.5</v>
      </c>
      <c r="BI18" s="30">
        <v>1.18</v>
      </c>
      <c r="BJ18" s="30">
        <v>21501.86</v>
      </c>
      <c r="BK18" s="30">
        <v>21722.13</v>
      </c>
      <c r="BL18" s="42">
        <v>2010</v>
      </c>
      <c r="BM18" s="42" t="s">
        <v>94</v>
      </c>
      <c r="BN18" s="43">
        <v>382731.36</v>
      </c>
      <c r="BO18" s="44"/>
      <c r="BP18" s="44"/>
      <c r="BQ18" s="44"/>
      <c r="BR18" s="44"/>
      <c r="BS18" s="45">
        <v>0.85</v>
      </c>
      <c r="BT18" s="46">
        <v>6337.09</v>
      </c>
      <c r="BU18" s="47">
        <v>5801.93</v>
      </c>
    </row>
    <row r="19" spans="1:73" ht="10.5" customHeight="1">
      <c r="A19" s="27">
        <v>10</v>
      </c>
      <c r="B19" s="28" t="s">
        <v>79</v>
      </c>
      <c r="C19" s="52" t="s">
        <v>95</v>
      </c>
      <c r="D19" s="30">
        <v>663.9</v>
      </c>
      <c r="E19" s="31">
        <v>1947</v>
      </c>
      <c r="F19" s="32">
        <v>2</v>
      </c>
      <c r="G19" s="32">
        <v>2</v>
      </c>
      <c r="H19" s="32"/>
      <c r="I19" s="32">
        <v>12</v>
      </c>
      <c r="J19" s="32"/>
      <c r="K19" s="33">
        <v>89.9</v>
      </c>
      <c r="L19" s="34">
        <f>149+6+36</f>
        <v>191</v>
      </c>
      <c r="M19" s="35">
        <v>0</v>
      </c>
      <c r="N19" s="35">
        <v>0</v>
      </c>
      <c r="O19" s="35">
        <v>995</v>
      </c>
      <c r="P19" s="32"/>
      <c r="Q19" s="36" t="s">
        <v>86</v>
      </c>
      <c r="R19" s="36" t="s">
        <v>85</v>
      </c>
      <c r="S19" s="35">
        <v>576</v>
      </c>
      <c r="T19" s="37">
        <v>11.55</v>
      </c>
      <c r="U19" s="37">
        <v>69012.9</v>
      </c>
      <c r="V19" s="37">
        <v>62354.93</v>
      </c>
      <c r="W19" s="38">
        <f>V19/U19*100</f>
        <v>90.35257176556848</v>
      </c>
      <c r="X19" s="37">
        <f>V19-Y19</f>
        <v>-87998.02253490195</v>
      </c>
      <c r="Y19" s="37">
        <f>Z19*1.18</f>
        <v>150352.95253490194</v>
      </c>
      <c r="Z19" s="37">
        <f>AA19+AG19+AR19+AZ19+BE19+BF19</f>
        <v>127417.75638551012</v>
      </c>
      <c r="AA19" s="30">
        <f>AE19+AF19</f>
        <v>14948.89293576826</v>
      </c>
      <c r="AB19" s="30">
        <v>0.29</v>
      </c>
      <c r="AC19" s="30">
        <f>3335677.04/79.4*AB19</f>
        <v>12183.203294710325</v>
      </c>
      <c r="AD19" s="30">
        <f>529475.59/3335677.04*AC19</f>
        <v>1933.8529105793448</v>
      </c>
      <c r="AE19" s="30">
        <f>AC19+AD19</f>
        <v>14117.05620528967</v>
      </c>
      <c r="AF19" s="30">
        <f>227751.16/79.4*AB19</f>
        <v>831.8367304785893</v>
      </c>
      <c r="AG19" s="30">
        <f>AI19+AJ19+AK19+AL19+AM19+AO19+AP19+AQ19</f>
        <v>74115.78081812752</v>
      </c>
      <c r="AH19" s="30">
        <f>0.244+0.018</f>
        <v>0.262</v>
      </c>
      <c r="AI19" s="30">
        <f>4838591.15/63.3*AH19</f>
        <v>20027.02814060032</v>
      </c>
      <c r="AJ19" s="30">
        <f>965412.23/4838591.15*AI19</f>
        <v>3995.861046761454</v>
      </c>
      <c r="AK19" s="39">
        <v>720.4</v>
      </c>
      <c r="AL19" s="40">
        <f>123624.91/74.3*(AH19+AN19)</f>
        <v>494.76855778268356</v>
      </c>
      <c r="AM19" s="30">
        <f>33587.64+5455.7+3605.1</f>
        <v>42648.439999999995</v>
      </c>
      <c r="AN19" s="37">
        <f>11/206520.5*D19</f>
        <v>0.03536162269605196</v>
      </c>
      <c r="AO19" s="37">
        <f>1348323.71/11*AN19</f>
        <v>4334.446755014635</v>
      </c>
      <c r="AP19" s="30">
        <f>277648.69/1348323.71*AO19</f>
        <v>892.5552925302813</v>
      </c>
      <c r="AQ19" s="30">
        <f>311781.26/206520.5*D19</f>
        <v>1002.2810254381527</v>
      </c>
      <c r="AR19" s="30">
        <f>AS19+AT19+AU19+AV19+AW19+AX19+AY19</f>
        <v>6731.407154104827</v>
      </c>
      <c r="AS19" s="30">
        <f>230*2.6*9</f>
        <v>5382</v>
      </c>
      <c r="AT19" s="40">
        <f>145379.72/206520.5*D19</f>
        <v>467.35116420888</v>
      </c>
      <c r="AU19" s="30"/>
      <c r="AV19" s="30">
        <f>20083.92/4341*I19</f>
        <v>55.51878369039392</v>
      </c>
      <c r="AW19" s="30">
        <f>46783.76/1064*I19</f>
        <v>527.6363909774436</v>
      </c>
      <c r="AX19" s="30">
        <f>21076.61/58093.7*D19</f>
        <v>240.8653843532087</v>
      </c>
      <c r="AY19" s="30">
        <f>18053.18/206520.5*D19</f>
        <v>58.03543087490104</v>
      </c>
      <c r="AZ19" s="42">
        <f>BB19+BC19+BD19</f>
        <v>18565.61868399505</v>
      </c>
      <c r="BA19" s="42">
        <f>37.6/206520.5*D19</f>
        <v>0.12087245576105035</v>
      </c>
      <c r="BB19" s="30">
        <f>4053113.48/37.6*BA19</f>
        <v>13029.515420367468</v>
      </c>
      <c r="BC19" s="30">
        <f>887989.5/4053113.48*BB19</f>
        <v>2854.613605186894</v>
      </c>
      <c r="BD19" s="30">
        <f>834135.54/37.6*BA19</f>
        <v>2681.4896584406874</v>
      </c>
      <c r="BE19" s="30">
        <f>3513152.23/206520.5*D19</f>
        <v>11293.705784641234</v>
      </c>
      <c r="BF19" s="40">
        <f>548217.52/206520.5*D19</f>
        <v>1762.351008873211</v>
      </c>
      <c r="BG19" s="30">
        <v>15664.35</v>
      </c>
      <c r="BH19" s="30">
        <v>327.4</v>
      </c>
      <c r="BI19" s="30">
        <v>1.18</v>
      </c>
      <c r="BJ19" s="30">
        <v>-8380.41</v>
      </c>
      <c r="BK19" s="30">
        <v>838.75</v>
      </c>
      <c r="BL19" s="42"/>
      <c r="BM19" s="42"/>
      <c r="BN19" s="43"/>
      <c r="BO19" s="44"/>
      <c r="BP19" s="44"/>
      <c r="BQ19" s="44"/>
      <c r="BR19" s="44"/>
      <c r="BS19" s="45">
        <v>0</v>
      </c>
      <c r="BT19" s="46">
        <v>0</v>
      </c>
      <c r="BU19" s="47">
        <v>0</v>
      </c>
    </row>
    <row r="20" spans="1:73" ht="9.75" customHeight="1">
      <c r="A20" s="27">
        <v>11</v>
      </c>
      <c r="B20" s="28" t="s">
        <v>79</v>
      </c>
      <c r="C20" s="29">
        <v>13</v>
      </c>
      <c r="D20" s="30">
        <v>2566.2</v>
      </c>
      <c r="E20" s="31">
        <v>1965</v>
      </c>
      <c r="F20" s="32">
        <v>4</v>
      </c>
      <c r="G20" s="32">
        <v>5</v>
      </c>
      <c r="H20" s="32"/>
      <c r="I20" s="32">
        <v>64</v>
      </c>
      <c r="J20" s="32"/>
      <c r="K20" s="33">
        <v>295.9</v>
      </c>
      <c r="L20" s="34">
        <f>649+26+466</f>
        <v>1141</v>
      </c>
      <c r="M20" s="35">
        <v>0</v>
      </c>
      <c r="N20" s="35">
        <v>0</v>
      </c>
      <c r="O20" s="35">
        <v>2165</v>
      </c>
      <c r="P20" s="32"/>
      <c r="Q20" s="36" t="s">
        <v>84</v>
      </c>
      <c r="R20" s="36" t="s">
        <v>85</v>
      </c>
      <c r="S20" s="35">
        <v>1054</v>
      </c>
      <c r="T20" s="37">
        <v>16.95</v>
      </c>
      <c r="U20" s="37">
        <v>391475.52</v>
      </c>
      <c r="V20" s="37">
        <v>374746.75</v>
      </c>
      <c r="W20" s="38">
        <f>V20/U20*100</f>
        <v>95.7267391841002</v>
      </c>
      <c r="X20" s="37">
        <f>V20-Y20</f>
        <v>-16496.398666623747</v>
      </c>
      <c r="Y20" s="37">
        <f>Z20*1.18</f>
        <v>391243.14866662375</v>
      </c>
      <c r="Z20" s="37">
        <f>AA20+AG20+AR20+AZ20+BE20+BF20</f>
        <v>331561.99039544386</v>
      </c>
      <c r="AA20" s="30">
        <f>AE20+AF20</f>
        <v>48970.511341309815</v>
      </c>
      <c r="AB20" s="30">
        <v>0.95</v>
      </c>
      <c r="AC20" s="30">
        <f>3335677.04/79.4*AB20</f>
        <v>39910.49355163727</v>
      </c>
      <c r="AD20" s="30">
        <f>529475.59/3335677.04*AC20</f>
        <v>6335.03539672544</v>
      </c>
      <c r="AE20" s="30">
        <f>AC20+AD20</f>
        <v>46245.52894836271</v>
      </c>
      <c r="AF20" s="30">
        <f>227751.16/79.4*AB20</f>
        <v>2724.982392947103</v>
      </c>
      <c r="AG20" s="30">
        <f>AI20+AJ20+AK20+AL20+AM20+AO20+AP20+AQ20</f>
        <v>132991.95573262064</v>
      </c>
      <c r="AH20" s="30">
        <f>0.963+0.018</f>
        <v>0.981</v>
      </c>
      <c r="AI20" s="30">
        <f>4838591.15/63.3*AH20</f>
        <v>74986.69696919432</v>
      </c>
      <c r="AJ20" s="30">
        <f>965412.23/4838591.15*AI20</f>
        <v>14961.60185829384</v>
      </c>
      <c r="AK20" s="39">
        <v>17105.68</v>
      </c>
      <c r="AL20" s="40">
        <f>123624.91/74.3*(AH20+AN20)</f>
        <v>1859.6726094717403</v>
      </c>
      <c r="AM20" s="40"/>
      <c r="AN20" s="37">
        <f>11/206520.5*D20</f>
        <v>0.13668473589788907</v>
      </c>
      <c r="AO20" s="37">
        <f>1348323.71/11*AN20</f>
        <v>16754.115473291997</v>
      </c>
      <c r="AP20" s="30">
        <f>277648.69/1348323.71*AO20</f>
        <v>3450.0307150040794</v>
      </c>
      <c r="AQ20" s="30">
        <f>311781.26/206520.5*D20</f>
        <v>3874.1581073646444</v>
      </c>
      <c r="AR20" s="30">
        <f>AS20+AT20+AU20+AV20+AW20+AX20+AY20</f>
        <v>27370.95936551872</v>
      </c>
      <c r="AS20" s="30">
        <f>950*2.6*9</f>
        <v>22230</v>
      </c>
      <c r="AT20" s="40">
        <f>145379.72/206520.5*D20</f>
        <v>1806.4716939190057</v>
      </c>
      <c r="AU20" s="30"/>
      <c r="AV20" s="30">
        <f>20083.92/4341*I20</f>
        <v>296.1001796821009</v>
      </c>
      <c r="AW20" s="30">
        <f>46783.76/1064*I20</f>
        <v>2814.060751879699</v>
      </c>
      <c r="AX20" s="30"/>
      <c r="AY20" s="30">
        <f>18053.18/206520.5*D20</f>
        <v>224.3267400379139</v>
      </c>
      <c r="AZ20" s="42">
        <f>BB20+BC20+BD20</f>
        <v>71762.45016850143</v>
      </c>
      <c r="BA20" s="42">
        <f>37.6/206520.5*D20</f>
        <v>0.46721327906914806</v>
      </c>
      <c r="BB20" s="30">
        <f>4053113.48/37.6*BA20</f>
        <v>50363.522325270365</v>
      </c>
      <c r="BC20" s="30">
        <f>887989.5/4053113.48*BB20</f>
        <v>11034.055480690777</v>
      </c>
      <c r="BD20" s="30">
        <f>834135.54/37.6*BA20</f>
        <v>10364.87236254028</v>
      </c>
      <c r="BE20" s="30">
        <f>3513152.23/206520.5*D20</f>
        <v>43654.0258842391</v>
      </c>
      <c r="BF20" s="40">
        <f>548217.52/206520.5*D20</f>
        <v>6812.087903254156</v>
      </c>
      <c r="BG20" s="30">
        <v>65774.53</v>
      </c>
      <c r="BH20" s="30">
        <v>1868.7</v>
      </c>
      <c r="BI20" s="30">
        <v>1.18</v>
      </c>
      <c r="BJ20" s="30">
        <v>18890.67</v>
      </c>
      <c r="BK20" s="30">
        <v>17801.48</v>
      </c>
      <c r="BL20" s="42"/>
      <c r="BM20" s="42"/>
      <c r="BN20" s="43"/>
      <c r="BO20" s="44"/>
      <c r="BP20" s="44"/>
      <c r="BQ20" s="44"/>
      <c r="BR20" s="44"/>
      <c r="BS20" s="45">
        <v>0.85</v>
      </c>
      <c r="BT20" s="46">
        <v>4585.08</v>
      </c>
      <c r="BU20" s="47">
        <v>4551.93</v>
      </c>
    </row>
    <row r="21" spans="1:73" ht="9.75" customHeight="1">
      <c r="A21" s="27">
        <v>12</v>
      </c>
      <c r="B21" s="28" t="s">
        <v>79</v>
      </c>
      <c r="C21" s="29" t="s">
        <v>96</v>
      </c>
      <c r="D21" s="30">
        <v>3910.8</v>
      </c>
      <c r="E21" s="31">
        <v>1965</v>
      </c>
      <c r="F21" s="32">
        <v>4</v>
      </c>
      <c r="G21" s="32">
        <v>5</v>
      </c>
      <c r="H21" s="32"/>
      <c r="I21" s="32">
        <v>80</v>
      </c>
      <c r="J21" s="32"/>
      <c r="K21" s="33">
        <v>357</v>
      </c>
      <c r="L21" s="34">
        <f>285+169</f>
        <v>454</v>
      </c>
      <c r="M21" s="35">
        <v>0</v>
      </c>
      <c r="N21" s="35">
        <v>0</v>
      </c>
      <c r="O21" s="35">
        <v>2989</v>
      </c>
      <c r="P21" s="32"/>
      <c r="Q21" s="36" t="s">
        <v>80</v>
      </c>
      <c r="R21" s="36" t="s">
        <v>85</v>
      </c>
      <c r="S21" s="35">
        <v>1183</v>
      </c>
      <c r="T21" s="37">
        <v>16.95</v>
      </c>
      <c r="U21" s="37">
        <v>596594.34</v>
      </c>
      <c r="V21" s="37">
        <v>565135.69</v>
      </c>
      <c r="W21" s="38">
        <f>V21/U21*100</f>
        <v>94.72696137211089</v>
      </c>
      <c r="X21" s="37">
        <f>V21-Y21</f>
        <v>38769.01009631483</v>
      </c>
      <c r="Y21" s="37">
        <f>Z21*1.18</f>
        <v>526366.6799036851</v>
      </c>
      <c r="Z21" s="37">
        <f>AA21+AG21+AR21+AZ21+BE21+BF21</f>
        <v>446073.4575454959</v>
      </c>
      <c r="AA21" s="30">
        <f>AE21+AF21</f>
        <v>48970.511341309815</v>
      </c>
      <c r="AB21" s="30">
        <v>0.95</v>
      </c>
      <c r="AC21" s="30">
        <f>3335677.04/79.4*AB21</f>
        <v>39910.49355163727</v>
      </c>
      <c r="AD21" s="30">
        <f>529475.59/3335677.04*AC21</f>
        <v>6335.03539672544</v>
      </c>
      <c r="AE21" s="30">
        <f>AC21+AD21</f>
        <v>46245.52894836271</v>
      </c>
      <c r="AF21" s="30">
        <f>227751.16/79.4*AB21</f>
        <v>2724.982392947103</v>
      </c>
      <c r="AG21" s="30">
        <f>AI21+AJ21+AK21+AL21+AM21+AO21+AP21+AQ21</f>
        <v>192405.67659042246</v>
      </c>
      <c r="AH21" s="30">
        <f>0.956+0.018</f>
        <v>0.9740000000000001</v>
      </c>
      <c r="AI21" s="30">
        <f>4838591.15/63.3*AH21</f>
        <v>74451.62369826226</v>
      </c>
      <c r="AJ21" s="30">
        <f>965412.23/4838591.15*AI21</f>
        <v>14854.842212006322</v>
      </c>
      <c r="AK21" s="39">
        <v>57187.7</v>
      </c>
      <c r="AL21" s="40">
        <f>123624.91/74.3*(AH21+AN21)</f>
        <v>1967.1881318451117</v>
      </c>
      <c r="AM21" s="30">
        <v>7249.82</v>
      </c>
      <c r="AN21" s="37">
        <f>11/206520.5*D21</f>
        <v>0.2083028077115831</v>
      </c>
      <c r="AO21" s="37">
        <f>1348323.71/11*AN21</f>
        <v>25532.692227008938</v>
      </c>
      <c r="AP21" s="30">
        <f>277648.69/1348323.71*AO21</f>
        <v>5257.727425858449</v>
      </c>
      <c r="AQ21" s="30">
        <f>311781.26/206520.5*D21</f>
        <v>5904.082895441374</v>
      </c>
      <c r="AR21" s="30">
        <f>AS21+AT21+AU21+AV21+AW21+AX21+AY21</f>
        <v>18425.167704674648</v>
      </c>
      <c r="AS21" s="30">
        <f>489*2.6*9</f>
        <v>11442.6</v>
      </c>
      <c r="AT21" s="40">
        <f>145379.72/206520.5*D21</f>
        <v>2753.000350938527</v>
      </c>
      <c r="AU21" s="30"/>
      <c r="AV21" s="30">
        <f>20083.92/4341*I21</f>
        <v>370.1252246026261</v>
      </c>
      <c r="AW21" s="30">
        <f>46783.76/1064*I21</f>
        <v>3517.575939849624</v>
      </c>
      <c r="AX21" s="30"/>
      <c r="AY21" s="30">
        <f>18053.18/206520.5*D21</f>
        <v>341.8661892838726</v>
      </c>
      <c r="AZ21" s="42">
        <f>BB21+BC21+BD21</f>
        <v>109363.49081091708</v>
      </c>
      <c r="BA21" s="42">
        <f>37.6/206520.5*D21</f>
        <v>0.7120168699959568</v>
      </c>
      <c r="BB21" s="30">
        <f>4053113.48/37.6*BA21</f>
        <v>76752.26525978777</v>
      </c>
      <c r="BC21" s="30">
        <f>887989.5/4053113.48*BB21</f>
        <v>16815.51873349135</v>
      </c>
      <c r="BD21" s="30">
        <f>834135.54/37.6*BA21</f>
        <v>15795.70681763796</v>
      </c>
      <c r="BE21" s="30">
        <f>3513152.23/206520.5*D21</f>
        <v>66527.22485701904</v>
      </c>
      <c r="BF21" s="40">
        <f>548217.52/206520.5*D21</f>
        <v>10381.386241152815</v>
      </c>
      <c r="BG21" s="30">
        <v>101028.03</v>
      </c>
      <c r="BH21" s="30">
        <v>2241.5</v>
      </c>
      <c r="BI21" s="30">
        <v>1.18</v>
      </c>
      <c r="BJ21" s="30">
        <v>23804.73</v>
      </c>
      <c r="BK21" s="30">
        <v>22820.44</v>
      </c>
      <c r="BL21" s="42"/>
      <c r="BM21" s="42"/>
      <c r="BN21" s="43"/>
      <c r="BO21" s="44"/>
      <c r="BP21" s="44"/>
      <c r="BQ21" s="44"/>
      <c r="BR21" s="44"/>
      <c r="BS21" s="45">
        <v>0.85</v>
      </c>
      <c r="BT21" s="46">
        <v>11414.48</v>
      </c>
      <c r="BU21" s="47">
        <v>10517.62</v>
      </c>
    </row>
    <row r="22" spans="1:73" ht="9.75" customHeight="1">
      <c r="A22" s="27">
        <v>13</v>
      </c>
      <c r="B22" s="28" t="s">
        <v>79</v>
      </c>
      <c r="C22" s="29" t="s">
        <v>97</v>
      </c>
      <c r="D22" s="30">
        <v>3972.8</v>
      </c>
      <c r="E22" s="31">
        <v>1967</v>
      </c>
      <c r="F22" s="32">
        <v>6</v>
      </c>
      <c r="G22" s="32">
        <v>5</v>
      </c>
      <c r="H22" s="32"/>
      <c r="I22" s="32">
        <v>90</v>
      </c>
      <c r="J22" s="32"/>
      <c r="K22" s="33">
        <v>506.8</v>
      </c>
      <c r="L22" s="34">
        <f>475+214</f>
        <v>689</v>
      </c>
      <c r="M22" s="35">
        <v>0</v>
      </c>
      <c r="N22" s="35">
        <v>0</v>
      </c>
      <c r="O22" s="35">
        <v>3147</v>
      </c>
      <c r="P22" s="32"/>
      <c r="Q22" s="36" t="s">
        <v>80</v>
      </c>
      <c r="R22" s="36" t="s">
        <v>81</v>
      </c>
      <c r="S22" s="35">
        <v>1083</v>
      </c>
      <c r="T22" s="37">
        <v>16.95</v>
      </c>
      <c r="U22" s="37">
        <v>606053.07</v>
      </c>
      <c r="V22" s="37">
        <v>576296.14</v>
      </c>
      <c r="W22" s="38">
        <f>V22/U22*100</f>
        <v>95.09004549717075</v>
      </c>
      <c r="X22" s="37">
        <f>V22-Y22</f>
        <v>66758.81870205828</v>
      </c>
      <c r="Y22" s="37">
        <f>Z22*1.18</f>
        <v>509537.32129794173</v>
      </c>
      <c r="Z22" s="37">
        <f>AA22+AG22+AR22+AZ22+BE22+BF22</f>
        <v>431811.28923554387</v>
      </c>
      <c r="AA22" s="30">
        <f>AE22+AF22</f>
        <v>62888.44614357682</v>
      </c>
      <c r="AB22" s="30">
        <v>1.22</v>
      </c>
      <c r="AC22" s="30">
        <f>3335677.04/79.4*AB22</f>
        <v>51253.475929471024</v>
      </c>
      <c r="AD22" s="30">
        <f>529475.59/3335677.04*AC22</f>
        <v>8135.519141057933</v>
      </c>
      <c r="AE22" s="30">
        <f>AC22+AD22</f>
        <v>59388.99507052896</v>
      </c>
      <c r="AF22" s="30">
        <f>227751.16/79.4*AB22</f>
        <v>3499.4510730478587</v>
      </c>
      <c r="AG22" s="30">
        <f>AI22+AJ22+AK22+AL22+AM22+AO22+AP22+AQ22</f>
        <v>144477.1481293387</v>
      </c>
      <c r="AH22" s="30">
        <f>1.04+0.018</f>
        <v>1.058</v>
      </c>
      <c r="AI22" s="30">
        <f>4838591.15/63.3*AH22</f>
        <v>80872.5029494471</v>
      </c>
      <c r="AJ22" s="30">
        <f>965412.23/4838591.15*AI22</f>
        <v>16135.95796745656</v>
      </c>
      <c r="AK22" s="39">
        <v>8080</v>
      </c>
      <c r="AL22" s="40">
        <f>123624.91/74.3*(AH22+AN22)</f>
        <v>2112.447127562082</v>
      </c>
      <c r="AM22" s="40"/>
      <c r="AN22" s="37">
        <f>11/206520.5*D22</f>
        <v>0.2116051433150704</v>
      </c>
      <c r="AO22" s="37">
        <f>1348323.71/11*AN22</f>
        <v>25937.475626332493</v>
      </c>
      <c r="AP22" s="30">
        <f>277648.69/1348323.71*AO22</f>
        <v>5341.080985335596</v>
      </c>
      <c r="AQ22" s="30">
        <f>311781.26/206520.5*D22</f>
        <v>5997.68347320484</v>
      </c>
      <c r="AR22" s="30">
        <f>AS22+AT22+AU22+AV22+AW22+AX22+AY22</f>
        <v>35220.5219892141</v>
      </c>
      <c r="AS22" s="30">
        <f>1353*2.6*9</f>
        <v>31660.2</v>
      </c>
      <c r="AT22" s="40">
        <f>145379.72/206520.5*D22</f>
        <v>2796.6451350640737</v>
      </c>
      <c r="AU22" s="30"/>
      <c r="AV22" s="30">
        <f>20083.92/4341*I22</f>
        <v>416.39087767795434</v>
      </c>
      <c r="AW22" s="30"/>
      <c r="AX22" s="30"/>
      <c r="AY22" s="30">
        <f>18053.18/206520.5*D22</f>
        <v>347.28597647206936</v>
      </c>
      <c r="AZ22" s="42">
        <f>BB22+BC22+BD22</f>
        <v>111097.28860939229</v>
      </c>
      <c r="BA22" s="42">
        <f>37.6/206520.5*D22</f>
        <v>0.7233048535133316</v>
      </c>
      <c r="BB22" s="30">
        <f>4053113.48/37.6*BA22</f>
        <v>77969.05989160399</v>
      </c>
      <c r="BC22" s="30">
        <f>887989.5/4053113.48*BB22</f>
        <v>17082.104128161613</v>
      </c>
      <c r="BD22" s="30">
        <f>834135.54/37.6*BA22</f>
        <v>16046.124589626697</v>
      </c>
      <c r="BE22" s="30">
        <f>3513152.23/206520.5*D22</f>
        <v>67581.91646516448</v>
      </c>
      <c r="BF22" s="40">
        <f>548217.52/206520.5*D22</f>
        <v>10545.967898857498</v>
      </c>
      <c r="BG22" s="30">
        <v>102986.32</v>
      </c>
      <c r="BH22" s="30">
        <v>2570.3</v>
      </c>
      <c r="BI22" s="30">
        <v>1.18</v>
      </c>
      <c r="BJ22" s="30">
        <v>26718.29</v>
      </c>
      <c r="BK22" s="30">
        <v>25613.63</v>
      </c>
      <c r="BL22" s="42">
        <v>2010</v>
      </c>
      <c r="BM22" s="42" t="s">
        <v>82</v>
      </c>
      <c r="BN22" s="43">
        <v>52679.19</v>
      </c>
      <c r="BO22" s="44"/>
      <c r="BP22" s="44"/>
      <c r="BQ22" s="44"/>
      <c r="BR22" s="44"/>
      <c r="BS22" s="45">
        <v>0.85</v>
      </c>
      <c r="BT22" s="46">
        <v>9666.53</v>
      </c>
      <c r="BU22" s="47">
        <v>9064.49</v>
      </c>
    </row>
    <row r="23" spans="1:73" ht="9.75" customHeight="1">
      <c r="A23" s="27">
        <v>14</v>
      </c>
      <c r="B23" s="28" t="s">
        <v>79</v>
      </c>
      <c r="C23" s="29" t="s">
        <v>98</v>
      </c>
      <c r="D23" s="30">
        <v>3956.2</v>
      </c>
      <c r="E23" s="31">
        <v>1968</v>
      </c>
      <c r="F23" s="32">
        <v>6</v>
      </c>
      <c r="G23" s="32">
        <v>5</v>
      </c>
      <c r="H23" s="32"/>
      <c r="I23" s="32">
        <v>90</v>
      </c>
      <c r="J23" s="32"/>
      <c r="K23" s="33">
        <v>515.1</v>
      </c>
      <c r="L23" s="34">
        <f>799.4</f>
        <v>799.4</v>
      </c>
      <c r="M23" s="35">
        <v>0</v>
      </c>
      <c r="N23" s="35">
        <v>0</v>
      </c>
      <c r="O23" s="35">
        <v>4235.1</v>
      </c>
      <c r="P23" s="32"/>
      <c r="Q23" s="36" t="s">
        <v>80</v>
      </c>
      <c r="R23" s="36" t="s">
        <v>81</v>
      </c>
      <c r="S23" s="35">
        <v>1132</v>
      </c>
      <c r="T23" s="37">
        <v>16.95</v>
      </c>
      <c r="U23" s="37">
        <v>603523.95</v>
      </c>
      <c r="V23" s="37">
        <v>571342.03</v>
      </c>
      <c r="W23" s="38">
        <f>V23/U23*100</f>
        <v>94.6676648043545</v>
      </c>
      <c r="X23" s="37">
        <f>V23-Y23</f>
        <v>45612.05548069172</v>
      </c>
      <c r="Y23" s="37">
        <f>Z23*1.18</f>
        <v>525729.9745193083</v>
      </c>
      <c r="Z23" s="37">
        <f>AA23+AG23+AR23+AZ23+BE23+BF23</f>
        <v>445533.8767112782</v>
      </c>
      <c r="AA23" s="30">
        <f>AE23+AF23</f>
        <v>72167.06934508815</v>
      </c>
      <c r="AB23" s="30">
        <v>1.4</v>
      </c>
      <c r="AC23" s="30">
        <f>3335677.04/79.4*AB23</f>
        <v>58815.46418136019</v>
      </c>
      <c r="AD23" s="30">
        <f>529475.59/3335677.04*AC23</f>
        <v>9335.841637279595</v>
      </c>
      <c r="AE23" s="30">
        <f>AC23+AD23</f>
        <v>68151.30581863978</v>
      </c>
      <c r="AF23" s="30">
        <f>227751.16/79.4*AB23</f>
        <v>4015.7635264483624</v>
      </c>
      <c r="AG23" s="30">
        <f>AI23+AJ23+AK23+AL23+AM23+AO23+AP23+AQ23</f>
        <v>165215.71000923277</v>
      </c>
      <c r="AH23" s="30">
        <f>1.042+0.018</f>
        <v>1.06</v>
      </c>
      <c r="AI23" s="30">
        <f>4838591.15/63.3*AH23</f>
        <v>81025.38102685625</v>
      </c>
      <c r="AJ23" s="30">
        <f>965412.23/4838591.15*AI23</f>
        <v>16166.460723538707</v>
      </c>
      <c r="AK23" s="39">
        <v>28789.08</v>
      </c>
      <c r="AL23" s="40">
        <f>123624.91/74.3*(AH23+AN23)</f>
        <v>2114.303707948181</v>
      </c>
      <c r="AM23" s="40"/>
      <c r="AN23" s="37">
        <f>11/206520.5*D23</f>
        <v>0.2107209695889754</v>
      </c>
      <c r="AO23" s="37">
        <f>1348323.71/11*AN23</f>
        <v>25829.09813554586</v>
      </c>
      <c r="AP23" s="30">
        <f>277648.69/1348323.71*AO23</f>
        <v>5318.763741991715</v>
      </c>
      <c r="AQ23" s="30">
        <f>311781.26/206520.5*D23</f>
        <v>5972.622673352041</v>
      </c>
      <c r="AR23" s="30">
        <f>AS23+AT23+AU23+AV23+AW23+AX23+AY23</f>
        <v>19716.58534592687</v>
      </c>
      <c r="AS23" s="30">
        <f>691*2.6*9</f>
        <v>16169.400000000001</v>
      </c>
      <c r="AT23" s="40">
        <f>145379.72/206520.5*D23</f>
        <v>2784.959596088524</v>
      </c>
      <c r="AU23" s="30"/>
      <c r="AV23" s="30">
        <f>20083.92/4341*I23</f>
        <v>416.39087767795434</v>
      </c>
      <c r="AW23" s="30"/>
      <c r="AX23" s="30"/>
      <c r="AY23" s="30">
        <f>18053.18/206520.5*D23</f>
        <v>345.83487216039083</v>
      </c>
      <c r="AZ23" s="42">
        <f>BB23+BC23+BD23</f>
        <v>110633.07823109085</v>
      </c>
      <c r="BA23" s="42">
        <f>37.6/206520.5*D23</f>
        <v>0.7202825869586796</v>
      </c>
      <c r="BB23" s="30">
        <f>4053113.48/37.6*BA23</f>
        <v>77643.27294179512</v>
      </c>
      <c r="BC23" s="30">
        <f>887989.5/4053113.48*BB23</f>
        <v>17010.728038620862</v>
      </c>
      <c r="BD23" s="30">
        <f>834135.54/37.6*BA23</f>
        <v>15979.077250674873</v>
      </c>
      <c r="BE23" s="30">
        <f>3513152.23/206520.5*D23</f>
        <v>67299.53129266102</v>
      </c>
      <c r="BF23" s="40">
        <f>548217.52/206520.5*D23</f>
        <v>10501.902487278501</v>
      </c>
      <c r="BG23" s="30">
        <v>100746.04</v>
      </c>
      <c r="BH23" s="30">
        <v>2144.7</v>
      </c>
      <c r="BI23" s="30">
        <v>1.18</v>
      </c>
      <c r="BJ23" s="30">
        <v>22540.37</v>
      </c>
      <c r="BK23" s="30">
        <v>21848.59</v>
      </c>
      <c r="BL23" s="42">
        <v>2010</v>
      </c>
      <c r="BM23" s="42" t="s">
        <v>82</v>
      </c>
      <c r="BN23" s="43">
        <v>74874.7</v>
      </c>
      <c r="BO23" s="44"/>
      <c r="BP23" s="44"/>
      <c r="BQ23" s="44"/>
      <c r="BR23" s="44"/>
      <c r="BS23" s="45">
        <v>0.85</v>
      </c>
      <c r="BT23" s="46">
        <v>11000.7</v>
      </c>
      <c r="BU23" s="47">
        <v>9945.11</v>
      </c>
    </row>
    <row r="24" spans="1:73" ht="9.75" customHeight="1">
      <c r="A24" s="27">
        <v>15</v>
      </c>
      <c r="B24" s="28" t="s">
        <v>79</v>
      </c>
      <c r="C24" s="29">
        <v>14</v>
      </c>
      <c r="D24" s="30">
        <v>670.3</v>
      </c>
      <c r="E24" s="31">
        <v>1959</v>
      </c>
      <c r="F24" s="32">
        <v>2</v>
      </c>
      <c r="G24" s="32">
        <v>2</v>
      </c>
      <c r="H24" s="32"/>
      <c r="I24" s="32">
        <v>12</v>
      </c>
      <c r="J24" s="32"/>
      <c r="K24" s="33">
        <v>89.8</v>
      </c>
      <c r="L24" s="34">
        <f>224+43</f>
        <v>267</v>
      </c>
      <c r="M24" s="35">
        <v>0</v>
      </c>
      <c r="N24" s="35">
        <v>0</v>
      </c>
      <c r="O24" s="35">
        <v>1870</v>
      </c>
      <c r="P24" s="32"/>
      <c r="Q24" s="36" t="s">
        <v>86</v>
      </c>
      <c r="R24" s="36" t="s">
        <v>85</v>
      </c>
      <c r="S24" s="35">
        <v>576</v>
      </c>
      <c r="T24" s="37">
        <v>11.55</v>
      </c>
      <c r="U24" s="37">
        <v>69678</v>
      </c>
      <c r="V24" s="37">
        <v>60037.81</v>
      </c>
      <c r="W24" s="38">
        <f>V24/U24*100</f>
        <v>86.16465742415109</v>
      </c>
      <c r="X24" s="37">
        <f>V24-Y24</f>
        <v>-46550.05907139623</v>
      </c>
      <c r="Y24" s="37">
        <f>Z24*1.18</f>
        <v>106587.86907139623</v>
      </c>
      <c r="Z24" s="37">
        <f>AA24+AG24+AR24+AZ24+BE24+BF24</f>
        <v>90328.70260287817</v>
      </c>
      <c r="AA24" s="30">
        <f>AE24+AF24</f>
        <v>18041.767336272038</v>
      </c>
      <c r="AB24" s="30">
        <v>0.35</v>
      </c>
      <c r="AC24" s="30">
        <f>3335677.04/79.4*AB24</f>
        <v>14703.866045340048</v>
      </c>
      <c r="AD24" s="30">
        <f>529475.59/3335677.04*AC24</f>
        <v>2333.9604093198986</v>
      </c>
      <c r="AE24" s="30">
        <f>AC24+AD24</f>
        <v>17037.826454659946</v>
      </c>
      <c r="AF24" s="30">
        <f>227751.16/79.4*AB24</f>
        <v>1003.9408816120906</v>
      </c>
      <c r="AG24" s="30">
        <f>AI24+AJ24+AK24+AL24+AM24+AO24+AP24+AQ24</f>
        <v>36312.63281916947</v>
      </c>
      <c r="AH24" s="30">
        <f>0.217+0.018</f>
        <v>0.235</v>
      </c>
      <c r="AI24" s="30">
        <f>4838591.15/63.3*AH24</f>
        <v>17963.17409557662</v>
      </c>
      <c r="AJ24" s="30">
        <f>965412.23/4838591.15*AI24</f>
        <v>3584.073839652449</v>
      </c>
      <c r="AK24" s="39">
        <v>8025.64</v>
      </c>
      <c r="AL24" s="40">
        <f>123624.91/74.3*(AH24+AN24)</f>
        <v>450.4114846023192</v>
      </c>
      <c r="AM24" s="40"/>
      <c r="AN24" s="37">
        <f>11/206520.5*D24</f>
        <v>0.03570250895189581</v>
      </c>
      <c r="AO24" s="37">
        <f>1348323.71/11*AN24</f>
        <v>4376.230847848034</v>
      </c>
      <c r="AP24" s="30">
        <f>277648.69/1348323.71*AO24</f>
        <v>901.1595309279222</v>
      </c>
      <c r="AQ24" s="30">
        <f>311781.26/206520.5*D24</f>
        <v>1011.9430205621234</v>
      </c>
      <c r="AR24" s="30">
        <f>AS24+AT24+AU24+AV24+AW24+AX24+AY24</f>
        <v>4047.7938278032707</v>
      </c>
      <c r="AS24" s="30">
        <f>115*2.6*9</f>
        <v>2691</v>
      </c>
      <c r="AT24" s="40">
        <f>145379.72/206520.5*D24</f>
        <v>471.8564322476461</v>
      </c>
      <c r="AU24" s="30"/>
      <c r="AV24" s="30">
        <f>20083.92/4341*I24</f>
        <v>55.51878369039392</v>
      </c>
      <c r="AW24" s="30">
        <f>46783.76/1064*I24</f>
        <v>527.6363909774436</v>
      </c>
      <c r="AX24" s="30">
        <f>21076.61/58093.7*D24</f>
        <v>243.18732810958846</v>
      </c>
      <c r="AY24" s="30">
        <f>18053.18/206520.5*D24</f>
        <v>58.59489277819877</v>
      </c>
      <c r="AZ24" s="42">
        <f>BB24+BC24+BD24</f>
        <v>18744.591359966686</v>
      </c>
      <c r="BA24" s="42">
        <f>37.6/206520.5*D24</f>
        <v>0.12203766696284388</v>
      </c>
      <c r="BB24" s="30">
        <f>4053113.48/37.6*BA24</f>
        <v>13155.120027522691</v>
      </c>
      <c r="BC24" s="30">
        <f>887989.5/4053113.48*BB24</f>
        <v>2882.1320975399535</v>
      </c>
      <c r="BD24" s="30">
        <f>834135.54/37.6*BA24</f>
        <v>2707.339234904041</v>
      </c>
      <c r="BE24" s="30">
        <f>3513152.23/206520.5*D24</f>
        <v>11402.577176449795</v>
      </c>
      <c r="BF24" s="40">
        <f>548217.52/206520.5*D24</f>
        <v>1779.3400832169202</v>
      </c>
      <c r="BG24" s="30">
        <v>16032.18</v>
      </c>
      <c r="BH24" s="30">
        <v>345</v>
      </c>
      <c r="BI24" s="30">
        <v>1.18</v>
      </c>
      <c r="BJ24" s="30">
        <v>-9136.44</v>
      </c>
      <c r="BK24" s="30">
        <v>716.83</v>
      </c>
      <c r="BL24" s="42"/>
      <c r="BM24" s="42"/>
      <c r="BN24" s="43"/>
      <c r="BO24" s="44"/>
      <c r="BP24" s="44"/>
      <c r="BQ24" s="44"/>
      <c r="BR24" s="44"/>
      <c r="BS24" s="45">
        <v>0</v>
      </c>
      <c r="BT24" s="46">
        <v>0</v>
      </c>
      <c r="BU24" s="47">
        <v>2.95</v>
      </c>
    </row>
    <row r="25" spans="1:73" ht="9.75" customHeight="1">
      <c r="A25" s="27">
        <v>16</v>
      </c>
      <c r="B25" s="28" t="s">
        <v>79</v>
      </c>
      <c r="C25" s="29">
        <v>15</v>
      </c>
      <c r="D25" s="30">
        <v>4564.5</v>
      </c>
      <c r="E25" s="31">
        <v>1970</v>
      </c>
      <c r="F25" s="32">
        <v>6</v>
      </c>
      <c r="G25" s="32">
        <v>5</v>
      </c>
      <c r="H25" s="32"/>
      <c r="I25" s="32">
        <v>98</v>
      </c>
      <c r="J25" s="32"/>
      <c r="K25" s="33">
        <v>475.2</v>
      </c>
      <c r="L25" s="34">
        <v>1991.4</v>
      </c>
      <c r="M25" s="35">
        <v>0</v>
      </c>
      <c r="N25" s="35">
        <v>0</v>
      </c>
      <c r="O25" s="35">
        <v>12610.7</v>
      </c>
      <c r="P25" s="32"/>
      <c r="Q25" s="36" t="s">
        <v>84</v>
      </c>
      <c r="R25" s="36" t="s">
        <v>81</v>
      </c>
      <c r="S25" s="35">
        <v>1250</v>
      </c>
      <c r="T25" s="37">
        <v>16.95</v>
      </c>
      <c r="U25" s="37">
        <v>696317.13</v>
      </c>
      <c r="V25" s="37">
        <v>718840.48</v>
      </c>
      <c r="W25" s="38">
        <f>V25/U25*100</f>
        <v>103.23463965334301</v>
      </c>
      <c r="X25" s="37">
        <f>V25-Y25</f>
        <v>50913.01789734466</v>
      </c>
      <c r="Y25" s="37">
        <f>Z25*1.18</f>
        <v>667927.4621026553</v>
      </c>
      <c r="Z25" s="37">
        <f>AA25+AG25+AR25+AZ25+BE25+BF25</f>
        <v>566040.2221208944</v>
      </c>
      <c r="AA25" s="30">
        <f>AE25+AF25</f>
        <v>85569.52508060451</v>
      </c>
      <c r="AB25" s="30">
        <v>1.66</v>
      </c>
      <c r="AC25" s="30">
        <f>3335677.04/79.4*AB25</f>
        <v>69738.33610075565</v>
      </c>
      <c r="AD25" s="30">
        <f>529475.59/3335677.04*AC25</f>
        <v>11069.640798488663</v>
      </c>
      <c r="AE25" s="30">
        <f>AC25+AD25</f>
        <v>80807.97689924431</v>
      </c>
      <c r="AF25" s="30">
        <f>227751.16/79.4*AB25</f>
        <v>4761.548181360201</v>
      </c>
      <c r="AG25" s="30">
        <f>AI25+AJ25+AK25+AL25+AM25+AO25+AP25+AQ25</f>
        <v>223897.16285185225</v>
      </c>
      <c r="AH25" s="30">
        <f>1.556+0.02</f>
        <v>1.576</v>
      </c>
      <c r="AI25" s="30">
        <f>4838591.15/63.3*AH25</f>
        <v>120467.92499842025</v>
      </c>
      <c r="AJ25" s="30">
        <f>965412.23/4838591.15*AI25</f>
        <v>24036.17179273302</v>
      </c>
      <c r="AK25" s="39">
        <v>33538.22</v>
      </c>
      <c r="AL25" s="40">
        <f>123624.91/74.3*(AH25+AN25)</f>
        <v>3026.765647035414</v>
      </c>
      <c r="AM25" s="40"/>
      <c r="AN25" s="37">
        <f>11/206520.5*D25</f>
        <v>0.24312114293738393</v>
      </c>
      <c r="AO25" s="37">
        <f>1348323.71/11*AN25</f>
        <v>29800.545584070343</v>
      </c>
      <c r="AP25" s="30">
        <f>277648.69/1348323.71*AO25</f>
        <v>6136.569713442491</v>
      </c>
      <c r="AQ25" s="30">
        <f>311781.26/206520.5*D25</f>
        <v>6890.965116150697</v>
      </c>
      <c r="AR25" s="30">
        <f>AS25+AT25+AU25+AV25+AW25+AX25+AY25</f>
        <v>39165.58462209923</v>
      </c>
      <c r="AS25" s="30">
        <f>1500*2.6*9</f>
        <v>35100</v>
      </c>
      <c r="AT25" s="40">
        <f>145379.72/206520.5*D25</f>
        <v>3213.171244210623</v>
      </c>
      <c r="AU25" s="30"/>
      <c r="AV25" s="30">
        <f>20083.92/4341*I25</f>
        <v>453.40340013821697</v>
      </c>
      <c r="AW25" s="30"/>
      <c r="AX25" s="30"/>
      <c r="AY25" s="30">
        <f>18053.18/206520.5*D25</f>
        <v>399.0099777503928</v>
      </c>
      <c r="AZ25" s="42">
        <f>BB25+BC25+BD25</f>
        <v>127643.87179258233</v>
      </c>
      <c r="BA25" s="42">
        <f>37.6/206520.5*D25</f>
        <v>0.8310322704041487</v>
      </c>
      <c r="BB25" s="30">
        <f>4053113.48/37.6*BA25</f>
        <v>89581.59833750161</v>
      </c>
      <c r="BC25" s="30">
        <f>887989.5/4053113.48*BB25</f>
        <v>19626.274741490553</v>
      </c>
      <c r="BD25" s="30">
        <f>834135.54/37.6*BA25</f>
        <v>18435.998713590176</v>
      </c>
      <c r="BE25" s="30">
        <f>3513152.23/206520.5*D25</f>
        <v>77647.41686096539</v>
      </c>
      <c r="BF25" s="40">
        <f>548217.52/206520.5*D25</f>
        <v>12116.66091279074</v>
      </c>
      <c r="BG25" s="30">
        <v>117658.25</v>
      </c>
      <c r="BH25" s="30">
        <v>3108.1</v>
      </c>
      <c r="BI25" s="30">
        <v>1.18</v>
      </c>
      <c r="BJ25" s="30">
        <v>31505.92</v>
      </c>
      <c r="BK25" s="30">
        <v>30358.64</v>
      </c>
      <c r="BL25" s="42"/>
      <c r="BM25" s="42"/>
      <c r="BN25" s="43"/>
      <c r="BO25" s="44"/>
      <c r="BP25" s="44"/>
      <c r="BQ25" s="44"/>
      <c r="BR25" s="44"/>
      <c r="BS25" s="45">
        <v>0.85</v>
      </c>
      <c r="BT25" s="46">
        <v>9891.75</v>
      </c>
      <c r="BU25" s="47">
        <v>11696.21</v>
      </c>
    </row>
    <row r="26" spans="1:73" ht="9.75" customHeight="1">
      <c r="A26" s="27">
        <v>17</v>
      </c>
      <c r="B26" s="28" t="s">
        <v>79</v>
      </c>
      <c r="C26" s="29" t="s">
        <v>99</v>
      </c>
      <c r="D26" s="30">
        <v>3939.3</v>
      </c>
      <c r="E26" s="31">
        <v>1969</v>
      </c>
      <c r="F26" s="32">
        <v>6</v>
      </c>
      <c r="G26" s="32">
        <v>5</v>
      </c>
      <c r="H26" s="32"/>
      <c r="I26" s="32">
        <v>89</v>
      </c>
      <c r="J26" s="32"/>
      <c r="K26" s="33">
        <v>511.8</v>
      </c>
      <c r="L26" s="34"/>
      <c r="M26" s="35"/>
      <c r="N26" s="35"/>
      <c r="O26" s="35"/>
      <c r="P26" s="32"/>
      <c r="Q26" s="36" t="s">
        <v>80</v>
      </c>
      <c r="R26" s="36" t="s">
        <v>81</v>
      </c>
      <c r="S26" s="35">
        <v>1020</v>
      </c>
      <c r="T26" s="37">
        <v>16.95</v>
      </c>
      <c r="U26" s="37">
        <v>600942.51</v>
      </c>
      <c r="V26" s="37">
        <v>546770.25</v>
      </c>
      <c r="W26" s="38">
        <f>V26/U26*100</f>
        <v>90.98545050507411</v>
      </c>
      <c r="X26" s="37">
        <f>V26-Y26</f>
        <v>-4495.604816845735</v>
      </c>
      <c r="Y26" s="37">
        <f>Z26*1.18</f>
        <v>551265.8548168457</v>
      </c>
      <c r="Z26" s="37">
        <f>AA26+AG26+AR26+AZ26+BE26+BF26</f>
        <v>467174.4532346151</v>
      </c>
      <c r="AA26" s="30">
        <f>AE26+AF26</f>
        <v>88146.92041435768</v>
      </c>
      <c r="AB26" s="30">
        <v>1.71</v>
      </c>
      <c r="AC26" s="30">
        <f>3335677.04/79.4*AB26</f>
        <v>71838.88839294709</v>
      </c>
      <c r="AD26" s="30">
        <f>529475.59/3335677.04*AC26</f>
        <v>11403.06371410579</v>
      </c>
      <c r="AE26" s="30">
        <f>AC26+AD26</f>
        <v>83241.95210705289</v>
      </c>
      <c r="AF26" s="30">
        <f>227751.16/79.4*AB26</f>
        <v>4904.968307304785</v>
      </c>
      <c r="AG26" s="30">
        <f>AI26+AJ26+AK26+AL26+AM26+AO26+AP26+AQ26</f>
        <v>139639.59343460895</v>
      </c>
      <c r="AH26" s="30">
        <f>1.026+0.018</f>
        <v>1.044</v>
      </c>
      <c r="AI26" s="30">
        <f>4838591.15/63.3*AH26</f>
        <v>79802.35640758295</v>
      </c>
      <c r="AJ26" s="30">
        <f>965412.23/4838591.15*AI26</f>
        <v>15922.438674881518</v>
      </c>
      <c r="AK26" s="39">
        <v>4866.7</v>
      </c>
      <c r="AL26" s="40">
        <f>123624.91/74.3*(AH26+AN26)</f>
        <v>2086.1841942860597</v>
      </c>
      <c r="AM26" s="40"/>
      <c r="AN26" s="37">
        <f>11/206520.5*D26</f>
        <v>0.20982081681963777</v>
      </c>
      <c r="AO26" s="37">
        <f>1348323.71/11*AN26</f>
        <v>25718.762015407672</v>
      </c>
      <c r="AP26" s="30">
        <f>277648.69/1348323.71*AO26</f>
        <v>5296.043174972945</v>
      </c>
      <c r="AQ26" s="30">
        <f>311781.26/206520.5*D26</f>
        <v>5947.108967477806</v>
      </c>
      <c r="AR26" s="30">
        <f>AS26+AT26+AU26+AV26+AW26+AX26+AY26</f>
        <v>51758.37739053901</v>
      </c>
      <c r="AS26" s="30">
        <f>2000*2.6*9</f>
        <v>46800</v>
      </c>
      <c r="AT26" s="40">
        <f>145379.72/206520.5*D26</f>
        <v>2773.0628726736572</v>
      </c>
      <c r="AU26" s="30"/>
      <c r="AV26" s="30">
        <f>20083.92/4341*I26</f>
        <v>411.7643123704215</v>
      </c>
      <c r="AW26" s="30"/>
      <c r="AX26" s="30">
        <f>21076.61/58093.7*D26</f>
        <v>1429.192662422948</v>
      </c>
      <c r="AY26" s="30">
        <f>18053.18/206520.5*D26</f>
        <v>344.3575430719953</v>
      </c>
      <c r="AZ26" s="42">
        <f>BB26+BC26+BD26</f>
        <v>110160.47850860328</v>
      </c>
      <c r="BA26" s="42">
        <f>37.6/206520.5*D26</f>
        <v>0.7172057011289437</v>
      </c>
      <c r="BB26" s="30">
        <f>4053113.48/37.6*BA26</f>
        <v>77311.59827602588</v>
      </c>
      <c r="BC26" s="30">
        <f>887989.5/4053113.48*BB26</f>
        <v>16938.06201975107</v>
      </c>
      <c r="BD26" s="30">
        <f>834135.54/37.6*BA26</f>
        <v>15910.81821282633</v>
      </c>
      <c r="BE26" s="30">
        <f>3513152.23/206520.5*D26</f>
        <v>67012.04277366654</v>
      </c>
      <c r="BF26" s="40">
        <f>548217.52/206520.5*D26</f>
        <v>10457.040712839645</v>
      </c>
      <c r="BG26" s="30">
        <v>100366.62</v>
      </c>
      <c r="BH26" s="30">
        <v>2057.7</v>
      </c>
      <c r="BI26" s="30">
        <v>1.18</v>
      </c>
      <c r="BJ26" s="30">
        <v>21179.18</v>
      </c>
      <c r="BK26" s="30">
        <v>19920.85</v>
      </c>
      <c r="BL26" s="42"/>
      <c r="BM26" s="42"/>
      <c r="BN26" s="43"/>
      <c r="BO26" s="44"/>
      <c r="BP26" s="44"/>
      <c r="BQ26" s="44"/>
      <c r="BR26" s="44"/>
      <c r="BS26" s="45">
        <v>0.85</v>
      </c>
      <c r="BT26" s="46">
        <v>12202.58</v>
      </c>
      <c r="BU26" s="47">
        <v>10956.47</v>
      </c>
    </row>
    <row r="27" spans="1:73" ht="9.75" customHeight="1">
      <c r="A27" s="27">
        <v>18</v>
      </c>
      <c r="B27" s="28" t="s">
        <v>79</v>
      </c>
      <c r="C27" s="29" t="s">
        <v>100</v>
      </c>
      <c r="D27" s="30">
        <v>6153.2</v>
      </c>
      <c r="E27" s="31">
        <v>1973</v>
      </c>
      <c r="F27" s="32">
        <v>8</v>
      </c>
      <c r="G27" s="32">
        <v>5</v>
      </c>
      <c r="H27" s="32"/>
      <c r="I27" s="32">
        <v>129</v>
      </c>
      <c r="J27" s="32"/>
      <c r="K27" s="33">
        <v>641.1</v>
      </c>
      <c r="L27" s="34">
        <f>778+340</f>
        <v>1118</v>
      </c>
      <c r="M27" s="35">
        <v>182</v>
      </c>
      <c r="N27" s="35">
        <v>570</v>
      </c>
      <c r="O27" s="35">
        <v>3272</v>
      </c>
      <c r="P27" s="32"/>
      <c r="Q27" s="36" t="s">
        <v>84</v>
      </c>
      <c r="R27" s="36" t="s">
        <v>81</v>
      </c>
      <c r="S27" s="35">
        <v>1821</v>
      </c>
      <c r="T27" s="37">
        <v>16.95</v>
      </c>
      <c r="U27" s="37">
        <v>938675.51</v>
      </c>
      <c r="V27" s="37">
        <v>892540.01</v>
      </c>
      <c r="W27" s="38">
        <f>V27/U27*100</f>
        <v>95.08504275348571</v>
      </c>
      <c r="X27" s="37">
        <f>V27-Y27</f>
        <v>76902.06870213745</v>
      </c>
      <c r="Y27" s="37">
        <f>Z27*1.18</f>
        <v>815637.9412978626</v>
      </c>
      <c r="Z27" s="37">
        <f>AA27+AG27+AR27+AZ27+BE27+BF27</f>
        <v>691218.5943202225</v>
      </c>
      <c r="AA27" s="30">
        <f>AE27+AF27</f>
        <v>94332.66921536523</v>
      </c>
      <c r="AB27" s="30">
        <v>1.83</v>
      </c>
      <c r="AC27" s="30">
        <f>3335677.04/79.4*AB27</f>
        <v>76880.21389420654</v>
      </c>
      <c r="AD27" s="30">
        <f>529475.59/3335677.04*AC27</f>
        <v>12203.2787115869</v>
      </c>
      <c r="AE27" s="30">
        <f>AC27+AD27</f>
        <v>89083.49260579344</v>
      </c>
      <c r="AF27" s="30">
        <f>227751.16/79.4*AB27</f>
        <v>5249.1766095717885</v>
      </c>
      <c r="AG27" s="30">
        <f>AI27+AJ27+AK27+AL27+AM27+AO27+AP27+AQ27</f>
        <v>276111.6628057603</v>
      </c>
      <c r="AH27" s="30">
        <f>2.035+0.02</f>
        <v>2.055</v>
      </c>
      <c r="AI27" s="30">
        <f>4838591.15/63.3*AH27</f>
        <v>157082.22453791474</v>
      </c>
      <c r="AJ27" s="30">
        <f>965412.23/4838591.15*AI27</f>
        <v>31341.58187440759</v>
      </c>
      <c r="AK27" s="39">
        <v>25988.67</v>
      </c>
      <c r="AL27" s="40">
        <f>123624.91/74.3*(AH27+AN27)</f>
        <v>3964.5507484923355</v>
      </c>
      <c r="AM27" s="40"/>
      <c r="AN27" s="37">
        <f>11/206520.5*D27</f>
        <v>0.3277408296028723</v>
      </c>
      <c r="AO27" s="37">
        <f>1348323.71/11*AN27</f>
        <v>40172.79375351115</v>
      </c>
      <c r="AP27" s="30">
        <f>277648.69/1348323.71*AO27</f>
        <v>8272.437454431883</v>
      </c>
      <c r="AQ27" s="30">
        <f>311781.26/206520.5*D27</f>
        <v>9289.404437002622</v>
      </c>
      <c r="AR27" s="30">
        <f>AS27+AT27+AU27+AV27+AW27+AX27+AY27</f>
        <v>27696.248218344765</v>
      </c>
      <c r="AS27" s="30">
        <f>950*2.6*9</f>
        <v>22230</v>
      </c>
      <c r="AT27" s="40">
        <f>145379.72/206520.5*D27</f>
        <v>4331.533640021209</v>
      </c>
      <c r="AU27" s="30"/>
      <c r="AV27" s="30">
        <f>20083.92/4341*I27</f>
        <v>596.8269246717346</v>
      </c>
      <c r="AW27" s="30"/>
      <c r="AX27" s="30"/>
      <c r="AY27" s="30">
        <f>18053.18/206520.5*D27</f>
        <v>537.8876536518167</v>
      </c>
      <c r="AZ27" s="42">
        <f>BB27+BC27+BD27</f>
        <v>172071.0421544786</v>
      </c>
      <c r="BA27" s="42">
        <f>37.6/206520.5*D27</f>
        <v>1.1202777448243637</v>
      </c>
      <c r="BB27" s="30">
        <f>4053113.48/37.6*BA27</f>
        <v>120760.97949179863</v>
      </c>
      <c r="BC27" s="30">
        <f>887989.5/4053113.48*BB27</f>
        <v>26457.310491694527</v>
      </c>
      <c r="BD27" s="30">
        <f>834135.54/37.6*BA27</f>
        <v>24852.752170985448</v>
      </c>
      <c r="BE27" s="30">
        <f>3513152.23/206520.5*D27</f>
        <v>104673.03876194374</v>
      </c>
      <c r="BF27" s="40">
        <f>548217.52/206520.5*D27</f>
        <v>16333.933164329932</v>
      </c>
      <c r="BG27" s="30">
        <v>159361.27</v>
      </c>
      <c r="BH27" s="30">
        <v>3910.8</v>
      </c>
      <c r="BI27" s="30">
        <v>1.18</v>
      </c>
      <c r="BJ27" s="30">
        <v>40552.74</v>
      </c>
      <c r="BK27" s="30">
        <v>38202.46</v>
      </c>
      <c r="BL27" s="42"/>
      <c r="BM27" s="42"/>
      <c r="BN27" s="43"/>
      <c r="BO27" s="44"/>
      <c r="BP27" s="44"/>
      <c r="BQ27" s="44"/>
      <c r="BR27" s="44"/>
      <c r="BS27" s="45">
        <v>0.95</v>
      </c>
      <c r="BT27" s="46">
        <v>15456.85</v>
      </c>
      <c r="BU27" s="47">
        <v>14705.09</v>
      </c>
    </row>
    <row r="28" spans="1:73" ht="9.75" customHeight="1">
      <c r="A28" s="27">
        <v>19</v>
      </c>
      <c r="B28" s="28" t="s">
        <v>79</v>
      </c>
      <c r="C28" s="29">
        <v>16</v>
      </c>
      <c r="D28" s="30">
        <v>286.3</v>
      </c>
      <c r="E28" s="31">
        <v>1947</v>
      </c>
      <c r="F28" s="32">
        <v>1</v>
      </c>
      <c r="G28" s="32">
        <v>2</v>
      </c>
      <c r="H28" s="32"/>
      <c r="I28" s="32">
        <v>8</v>
      </c>
      <c r="J28" s="32"/>
      <c r="K28" s="33">
        <v>27</v>
      </c>
      <c r="L28" s="34">
        <v>115</v>
      </c>
      <c r="M28" s="35">
        <v>0</v>
      </c>
      <c r="N28" s="35">
        <v>0</v>
      </c>
      <c r="O28" s="35">
        <v>1133</v>
      </c>
      <c r="P28" s="32"/>
      <c r="Q28" s="36" t="s">
        <v>86</v>
      </c>
      <c r="R28" s="36" t="s">
        <v>85</v>
      </c>
      <c r="S28" s="35">
        <v>233</v>
      </c>
      <c r="T28" s="37">
        <v>11.55</v>
      </c>
      <c r="U28" s="37">
        <v>29761.02</v>
      </c>
      <c r="V28" s="37">
        <v>28529.7</v>
      </c>
      <c r="W28" s="38">
        <f>V28/U28*100</f>
        <v>95.86264180461556</v>
      </c>
      <c r="X28" s="37">
        <f>V28-Y28</f>
        <v>-22411.56365725985</v>
      </c>
      <c r="Y28" s="37">
        <f>Z28*1.18</f>
        <v>50941.26365725985</v>
      </c>
      <c r="Z28" s="37">
        <f>AA28+AG28+AR28+AZ28+BE28+BF28</f>
        <v>43170.562421406656</v>
      </c>
      <c r="AA28" s="30">
        <f>AE28+AF28</f>
        <v>10309.581335012595</v>
      </c>
      <c r="AB28" s="30">
        <v>0.2</v>
      </c>
      <c r="AC28" s="30">
        <f>3335677.04/79.4*AB28</f>
        <v>8402.209168765743</v>
      </c>
      <c r="AD28" s="30">
        <f>529475.59/3335677.04*AC28</f>
        <v>1333.6916624685139</v>
      </c>
      <c r="AE28" s="30">
        <f>AC28+AD28</f>
        <v>9735.900831234258</v>
      </c>
      <c r="AF28" s="30">
        <f>227751.16/79.4*AB28</f>
        <v>573.6805037783375</v>
      </c>
      <c r="AG28" s="30">
        <f>AI28+AJ28+AK28+AL28+AM28+AO28+AP28+AQ28</f>
        <v>15918.125604886838</v>
      </c>
      <c r="AH28" s="30">
        <f>0.115+0.018</f>
        <v>0.133</v>
      </c>
      <c r="AI28" s="30">
        <f>4838591.15/63.3*AH28</f>
        <v>10166.392147709323</v>
      </c>
      <c r="AJ28" s="30">
        <f>965412.23/4838591.15*AI28</f>
        <v>2028.4332794628756</v>
      </c>
      <c r="AK28" s="39">
        <v>790.32</v>
      </c>
      <c r="AL28" s="40">
        <f>123624.91/74.3*(AH28+AN28)</f>
        <v>246.66635967720507</v>
      </c>
      <c r="AM28" s="40"/>
      <c r="AN28" s="37">
        <f>11/206520.5*D28</f>
        <v>0.015249333601264766</v>
      </c>
      <c r="AO28" s="37">
        <f>1348323.71/11*AN28</f>
        <v>1869.185277844088</v>
      </c>
      <c r="AP28" s="30">
        <f>277648.69/1348323.71*AO28</f>
        <v>384.9052270694677</v>
      </c>
      <c r="AQ28" s="30">
        <f>311781.26/206520.5*D28</f>
        <v>432.2233131238788</v>
      </c>
      <c r="AR28" s="30">
        <f>AS28+AT28+AU28+AV28+AW28+AX28+AY28</f>
        <v>3306.3353893081407</v>
      </c>
      <c r="AS28" s="30">
        <f>115*2.6*9</f>
        <v>2691</v>
      </c>
      <c r="AT28" s="40">
        <f>145379.72/206520.5*D28</f>
        <v>201.54034992167848</v>
      </c>
      <c r="AU28" s="30"/>
      <c r="AV28" s="30">
        <f>20083.92/4341*I28</f>
        <v>37.01252246026261</v>
      </c>
      <c r="AW28" s="30">
        <f>46783.46/1064*I28</f>
        <v>351.75533834586463</v>
      </c>
      <c r="AX28" s="30"/>
      <c r="AY28" s="30">
        <f>18053.18/206520.5*D28</f>
        <v>25.027178580334642</v>
      </c>
      <c r="AZ28" s="42">
        <f>BB28+BC28+BD28</f>
        <v>8006.2308016686</v>
      </c>
      <c r="BA28" s="42">
        <f>37.6/206520.5*D28</f>
        <v>0.05212499485523229</v>
      </c>
      <c r="BB28" s="30">
        <f>4053113.48/37.6*BA28</f>
        <v>5618.843598209379</v>
      </c>
      <c r="BC28" s="30">
        <f>887989.5/4053113.48*BB28</f>
        <v>1231.0225563563909</v>
      </c>
      <c r="BD28" s="30">
        <f>834135.54/37.6*BA28</f>
        <v>1156.36464710283</v>
      </c>
      <c r="BE28" s="30">
        <f>3513152.23/206520.5*D28</f>
        <v>4870.293667936114</v>
      </c>
      <c r="BF28" s="40">
        <f>548217.52/206520.5*D28</f>
        <v>759.9956225943672</v>
      </c>
      <c r="BG28" s="30">
        <v>7601.4</v>
      </c>
      <c r="BH28" s="30">
        <v>97.8</v>
      </c>
      <c r="BI28" s="30">
        <v>1.18</v>
      </c>
      <c r="BJ28" s="30">
        <v>323.32</v>
      </c>
      <c r="BK28" s="30">
        <v>325.44</v>
      </c>
      <c r="BL28" s="42"/>
      <c r="BM28" s="42"/>
      <c r="BN28" s="43"/>
      <c r="BO28" s="44"/>
      <c r="BP28" s="44"/>
      <c r="BQ28" s="44"/>
      <c r="BR28" s="44"/>
      <c r="BS28" s="45">
        <v>0</v>
      </c>
      <c r="BT28" s="46">
        <v>0</v>
      </c>
      <c r="BU28" s="47">
        <v>0</v>
      </c>
    </row>
    <row r="29" spans="1:73" ht="9.75" customHeight="1">
      <c r="A29" s="27">
        <v>20</v>
      </c>
      <c r="B29" s="28" t="s">
        <v>79</v>
      </c>
      <c r="C29" s="29">
        <v>17</v>
      </c>
      <c r="D29" s="30">
        <v>6176.6</v>
      </c>
      <c r="E29" s="31">
        <v>1974</v>
      </c>
      <c r="F29" s="32">
        <v>8</v>
      </c>
      <c r="G29" s="32">
        <v>5</v>
      </c>
      <c r="H29" s="32"/>
      <c r="I29" s="32">
        <v>129</v>
      </c>
      <c r="J29" s="32"/>
      <c r="K29" s="33">
        <v>628</v>
      </c>
      <c r="L29" s="34">
        <f>999+477</f>
        <v>1476</v>
      </c>
      <c r="M29" s="35">
        <v>240</v>
      </c>
      <c r="N29" s="35">
        <v>0</v>
      </c>
      <c r="O29" s="35">
        <v>4205</v>
      </c>
      <c r="P29" s="32"/>
      <c r="Q29" s="36" t="s">
        <v>84</v>
      </c>
      <c r="R29" s="36" t="s">
        <v>81</v>
      </c>
      <c r="S29" s="35">
        <v>1704</v>
      </c>
      <c r="T29" s="37">
        <v>16.95</v>
      </c>
      <c r="U29" s="37">
        <v>942243.03</v>
      </c>
      <c r="V29" s="37">
        <v>907289.52</v>
      </c>
      <c r="W29" s="38">
        <f>V29/U29*100</f>
        <v>96.29039336061737</v>
      </c>
      <c r="X29" s="37">
        <f>V29-Y29</f>
        <v>55202.25325819256</v>
      </c>
      <c r="Y29" s="37">
        <f>Z29*1.18</f>
        <v>852087.2667418075</v>
      </c>
      <c r="Z29" s="37">
        <f>AA29+AG29+AR29+AZ29+BE29+BF29</f>
        <v>722107.8531710233</v>
      </c>
      <c r="AA29" s="30">
        <f>AE29+AF29</f>
        <v>93301.71108186398</v>
      </c>
      <c r="AB29" s="30">
        <v>1.81</v>
      </c>
      <c r="AC29" s="30">
        <f>3335677.04/79.4*AB29</f>
        <v>76039.99297732997</v>
      </c>
      <c r="AD29" s="30">
        <f>529475.59/3335677.04*AC29</f>
        <v>12069.90954534005</v>
      </c>
      <c r="AE29" s="30">
        <f>AC29+AD29</f>
        <v>88109.90252267002</v>
      </c>
      <c r="AF29" s="30">
        <f>227751.16/79.4*AB29</f>
        <v>5191.808559193954</v>
      </c>
      <c r="AG29" s="30">
        <f>AI29+AJ29+AK29+AL29+AM29+AO29+AP29+AQ29</f>
        <v>282656.41569532116</v>
      </c>
      <c r="AH29" s="30">
        <f>2.021+0.02</f>
        <v>2.041</v>
      </c>
      <c r="AI29" s="30">
        <f>4838591.15/63.3*AH29</f>
        <v>156012.07799605056</v>
      </c>
      <c r="AJ29" s="30">
        <f>965412.23/4838591.15*AI29</f>
        <v>31128.062581832542</v>
      </c>
      <c r="AK29" s="39">
        <v>33618.75</v>
      </c>
      <c r="AL29" s="40">
        <f>123624.91/74.3*(AH29+AN29)</f>
        <v>3943.330466756877</v>
      </c>
      <c r="AM29" s="40"/>
      <c r="AN29" s="37">
        <f>11/206520.5*D29</f>
        <v>0.3289871949758014</v>
      </c>
      <c r="AO29" s="37">
        <f>1348323.71/11*AN29</f>
        <v>40325.566842933265</v>
      </c>
      <c r="AP29" s="30">
        <f>277648.69/1348323.71*AO29</f>
        <v>8303.89670107326</v>
      </c>
      <c r="AQ29" s="30">
        <f>311781.26/206520.5*D29</f>
        <v>9324.73110667464</v>
      </c>
      <c r="AR29" s="30">
        <f>AS29+AT29+AU29+AV29+AW29+AX29+AY29</f>
        <v>51957.16613719543</v>
      </c>
      <c r="AS29" s="30">
        <f>1986*2.6*9</f>
        <v>46472.4</v>
      </c>
      <c r="AT29" s="40">
        <f>145379.72/206520.5*D29</f>
        <v>4348.006026287948</v>
      </c>
      <c r="AU29" s="30"/>
      <c r="AV29" s="30">
        <f>20083.92/4341*I29</f>
        <v>596.8269246717346</v>
      </c>
      <c r="AW29" s="30"/>
      <c r="AX29" s="30"/>
      <c r="AY29" s="30">
        <f>18053.18/206520.5*D29</f>
        <v>539.9331862357491</v>
      </c>
      <c r="AZ29" s="42">
        <f>BB29+BC29+BD29</f>
        <v>172725.4110009999</v>
      </c>
      <c r="BA29" s="42">
        <f>37.6/206520.5*D29</f>
        <v>1.1245380482809213</v>
      </c>
      <c r="BB29" s="30">
        <f>4053113.48/37.6*BA29</f>
        <v>121220.22133670992</v>
      </c>
      <c r="BC29" s="30">
        <f>887989.5/4053113.48*BB29</f>
        <v>26557.924979360403</v>
      </c>
      <c r="BD29" s="30">
        <f>834135.54/37.6*BA29</f>
        <v>24947.264684929585</v>
      </c>
      <c r="BE29" s="30">
        <f>3513152.23/206520.5*D29</f>
        <v>105071.0997882438</v>
      </c>
      <c r="BF29" s="40">
        <f>548217.52/206520.5*D29</f>
        <v>16396.04946739912</v>
      </c>
      <c r="BG29" s="30">
        <v>160701.86</v>
      </c>
      <c r="BH29" s="30">
        <v>3788.3</v>
      </c>
      <c r="BI29" s="30">
        <v>1.18</v>
      </c>
      <c r="BJ29" s="30">
        <v>39057.45</v>
      </c>
      <c r="BK29" s="30">
        <v>38419.09</v>
      </c>
      <c r="BL29" s="42"/>
      <c r="BM29" s="42"/>
      <c r="BN29" s="43"/>
      <c r="BO29" s="44"/>
      <c r="BP29" s="44"/>
      <c r="BQ29" s="44"/>
      <c r="BR29" s="44"/>
      <c r="BS29" s="45">
        <v>0.95</v>
      </c>
      <c r="BT29" s="46">
        <v>19105.55</v>
      </c>
      <c r="BU29" s="47">
        <v>17837.33</v>
      </c>
    </row>
    <row r="30" spans="1:73" ht="9.75" customHeight="1">
      <c r="A30" s="27">
        <v>21</v>
      </c>
      <c r="B30" s="28" t="s">
        <v>79</v>
      </c>
      <c r="C30" s="29" t="s">
        <v>101</v>
      </c>
      <c r="D30" s="37">
        <v>11150.8</v>
      </c>
      <c r="E30" s="31">
        <v>1982</v>
      </c>
      <c r="F30" s="32">
        <v>6</v>
      </c>
      <c r="G30" s="32">
        <v>9</v>
      </c>
      <c r="H30" s="32">
        <v>6</v>
      </c>
      <c r="I30" s="32">
        <v>216</v>
      </c>
      <c r="J30" s="32"/>
      <c r="K30" s="50">
        <v>1269.3</v>
      </c>
      <c r="L30" s="34">
        <f>1226+1060</f>
        <v>2286</v>
      </c>
      <c r="M30" s="35"/>
      <c r="N30" s="35">
        <v>9688</v>
      </c>
      <c r="O30" s="35">
        <v>1423</v>
      </c>
      <c r="P30" s="32"/>
      <c r="Q30" s="36" t="s">
        <v>80</v>
      </c>
      <c r="R30" s="36" t="s">
        <v>81</v>
      </c>
      <c r="S30" s="35">
        <v>1883</v>
      </c>
      <c r="T30" s="37">
        <v>23.21</v>
      </c>
      <c r="U30" s="37">
        <v>2329302.32</v>
      </c>
      <c r="V30" s="37">
        <v>2274004.59</v>
      </c>
      <c r="W30" s="38">
        <f>V30/U30*100</f>
        <v>97.62599601068528</v>
      </c>
      <c r="X30" s="37">
        <f>V30-Y30</f>
        <v>-156183.30446404032</v>
      </c>
      <c r="Y30" s="37">
        <f>Z30*1.18</f>
        <v>2430187.89446404</v>
      </c>
      <c r="Z30" s="37">
        <f>AA30+AG30+AR30+AZ30+BE30+BF30</f>
        <v>2059481.2664949496</v>
      </c>
      <c r="AA30" s="30">
        <f>AE30+AF30</f>
        <v>323720.8539193954</v>
      </c>
      <c r="AB30" s="30">
        <v>6.28</v>
      </c>
      <c r="AC30" s="30">
        <f>3335677.04/79.4*AB30</f>
        <v>263829.3678992443</v>
      </c>
      <c r="AD30" s="30">
        <f>529475.59/3335677.04*AC30</f>
        <v>41877.91820151133</v>
      </c>
      <c r="AE30" s="30">
        <f>AC30+AD30</f>
        <v>305707.2861007556</v>
      </c>
      <c r="AF30" s="30">
        <f>227751.16/79.4*AB30</f>
        <v>18013.5678186398</v>
      </c>
      <c r="AG30" s="30">
        <f>AI30+AJ30+AK30+AL30+AM30+AO30+AP30+AQ30</f>
        <v>485849.95824518794</v>
      </c>
      <c r="AH30" s="30">
        <f>2.417+0.02</f>
        <v>2.437</v>
      </c>
      <c r="AI30" s="30">
        <f>4838591.15/63.3*AH30</f>
        <v>186281.93732306478</v>
      </c>
      <c r="AJ30" s="30">
        <f>965412.23/4838591.15*AI30</f>
        <v>37167.608286097944</v>
      </c>
      <c r="AK30" s="39">
        <v>101883.47</v>
      </c>
      <c r="AL30" s="40">
        <f>123624.91/74.3*(AH30+AN30)</f>
        <v>5043.0483986104955</v>
      </c>
      <c r="AM30" s="30">
        <v>50847.46</v>
      </c>
      <c r="AN30" s="37">
        <f>11/206520.5*D30</f>
        <v>0.5939303846349393</v>
      </c>
      <c r="AO30" s="37">
        <f>1348323.71/11*AN30</f>
        <v>72800.94724479166</v>
      </c>
      <c r="AP30" s="30">
        <f>277648.69/1348323.71*AO30</f>
        <v>14991.272113189729</v>
      </c>
      <c r="AQ30" s="30">
        <f>311781.26/206520.5*D30</f>
        <v>16834.21487943328</v>
      </c>
      <c r="AR30" s="30">
        <f>AS30+AT30+AU30+AV30+AW30+AX30+AY30</f>
        <v>718795.8603936093</v>
      </c>
      <c r="AS30" s="30">
        <f>8578*2.6*9</f>
        <v>200725.19999999998</v>
      </c>
      <c r="AT30" s="40">
        <f>145379.72/206520.5*D30</f>
        <v>7849.584819792708</v>
      </c>
      <c r="AU30" s="30">
        <f>84707.83*6</f>
        <v>508246.98</v>
      </c>
      <c r="AV30" s="30">
        <f>20083.92/4341*I30</f>
        <v>999.3381064270905</v>
      </c>
      <c r="AW30" s="30"/>
      <c r="AX30" s="30"/>
      <c r="AY30" s="30">
        <f>18053.18/206520.5*D30</f>
        <v>974.7574673894359</v>
      </c>
      <c r="AZ30" s="42">
        <f>BB30+BC30+BD30</f>
        <v>311826.3305038288</v>
      </c>
      <c r="BA30" s="42">
        <f>37.6/206520.5*D30</f>
        <v>2.0301620420248834</v>
      </c>
      <c r="BB30" s="30">
        <f>4053113.48/37.6*BA30</f>
        <v>218842.47710413247</v>
      </c>
      <c r="BC30" s="30">
        <f>887989.5/4053113.48*BB30</f>
        <v>47945.81320788976</v>
      </c>
      <c r="BD30" s="30">
        <f>834135.54/37.6*BA30</f>
        <v>45038.04019180662</v>
      </c>
      <c r="BE30" s="30">
        <f>3513152.23/206520.5*D30</f>
        <v>189687.9868404541</v>
      </c>
      <c r="BF30" s="40">
        <f>548217.52/206520.5*D30</f>
        <v>29600.276592473867</v>
      </c>
      <c r="BG30" s="30">
        <v>290064.76</v>
      </c>
      <c r="BH30" s="30">
        <v>7620</v>
      </c>
      <c r="BI30" s="30">
        <v>1.18</v>
      </c>
      <c r="BJ30" s="30">
        <v>78731.58</v>
      </c>
      <c r="BK30" s="30">
        <v>76558.29</v>
      </c>
      <c r="BL30" s="42">
        <v>2010</v>
      </c>
      <c r="BM30" s="42" t="s">
        <v>102</v>
      </c>
      <c r="BN30" s="43">
        <f>92274.28+65410</f>
        <v>157684.28</v>
      </c>
      <c r="BO30" s="44"/>
      <c r="BP30" s="44"/>
      <c r="BQ30" s="44"/>
      <c r="BR30" s="44"/>
      <c r="BS30" s="45">
        <v>1.06</v>
      </c>
      <c r="BT30" s="46">
        <v>29837.25</v>
      </c>
      <c r="BU30" s="47">
        <v>29255.28</v>
      </c>
    </row>
    <row r="31" spans="1:73" ht="9.75" customHeight="1">
      <c r="A31" s="27">
        <v>22</v>
      </c>
      <c r="B31" s="28" t="s">
        <v>79</v>
      </c>
      <c r="C31" s="29" t="s">
        <v>103</v>
      </c>
      <c r="D31" s="30">
        <v>1906.2</v>
      </c>
      <c r="E31" s="31">
        <v>1959</v>
      </c>
      <c r="F31" s="32">
        <v>4</v>
      </c>
      <c r="G31" s="32">
        <v>3</v>
      </c>
      <c r="H31" s="32"/>
      <c r="I31" s="32">
        <v>30</v>
      </c>
      <c r="J31" s="32"/>
      <c r="K31" s="33">
        <v>202.6</v>
      </c>
      <c r="L31" s="34">
        <f>362+226</f>
        <v>588</v>
      </c>
      <c r="M31" s="35">
        <v>0</v>
      </c>
      <c r="N31" s="35">
        <v>0</v>
      </c>
      <c r="O31" s="35">
        <v>2317</v>
      </c>
      <c r="P31" s="32"/>
      <c r="Q31" s="36" t="s">
        <v>84</v>
      </c>
      <c r="R31" s="36" t="s">
        <v>85</v>
      </c>
      <c r="S31" s="35">
        <v>1098</v>
      </c>
      <c r="T31" s="37">
        <v>16.95</v>
      </c>
      <c r="U31" s="37">
        <v>290791.53</v>
      </c>
      <c r="V31" s="37">
        <v>285602.73</v>
      </c>
      <c r="W31" s="38">
        <f>V31/U31*100</f>
        <v>98.21562890776082</v>
      </c>
      <c r="X31" s="37">
        <f>V31-Y31</f>
        <v>-919.3568829338183</v>
      </c>
      <c r="Y31" s="37">
        <f>Z31*1.18</f>
        <v>286522.0868829338</v>
      </c>
      <c r="Z31" s="37">
        <f>AA31+AG31+AR31+AZ31+BE31+BF31</f>
        <v>242815.32786689306</v>
      </c>
      <c r="AA31" s="30">
        <f>AE31+AF31</f>
        <v>36083.534672544076</v>
      </c>
      <c r="AB31" s="30">
        <v>0.7</v>
      </c>
      <c r="AC31" s="30">
        <f>3335677.04/79.4*AB31</f>
        <v>29407.732090680096</v>
      </c>
      <c r="AD31" s="30">
        <f>529475.59/3335677.04*AC31</f>
        <v>4667.920818639797</v>
      </c>
      <c r="AE31" s="30">
        <f>AC31+AD31</f>
        <v>34075.65290931989</v>
      </c>
      <c r="AF31" s="30">
        <f>227751.16/79.4*AB31</f>
        <v>2007.8817632241812</v>
      </c>
      <c r="AG31" s="30">
        <f>AI31+AJ31+AK31+AL31+AM31+AO31+AP31+AQ31</f>
        <v>84669.19294748822</v>
      </c>
      <c r="AH31" s="30">
        <f>0.612+0.018</f>
        <v>0.63</v>
      </c>
      <c r="AI31" s="30">
        <f>4838591.15/63.3*AH31</f>
        <v>48156.594383886266</v>
      </c>
      <c r="AJ31" s="30">
        <f>965412.23/4838591.15*AI31</f>
        <v>9608.368165876778</v>
      </c>
      <c r="AK31" s="39">
        <v>7801.45</v>
      </c>
      <c r="AL31" s="40">
        <f>123624.91/74.3*(AH31+AN31)</f>
        <v>1217.1660074249376</v>
      </c>
      <c r="AM31" s="40"/>
      <c r="AN31" s="37">
        <f>11/206520.5*D31</f>
        <v>0.10153084076399195</v>
      </c>
      <c r="AO31" s="37">
        <f>1348323.71/11*AN31</f>
        <v>12445.130899847714</v>
      </c>
      <c r="AP31" s="30">
        <f>277648.69/1348323.71*AO31</f>
        <v>2562.7186302473606</v>
      </c>
      <c r="AQ31" s="30">
        <f>311781.26/206520.5*D31</f>
        <v>2877.7648602051618</v>
      </c>
      <c r="AR31" s="30">
        <f>AS31+AT31+AU31+AV31+AW31+AX31+AY31</f>
        <v>31269.954072393797</v>
      </c>
      <c r="AS31" s="30">
        <f>1180*2.6*9</f>
        <v>27612</v>
      </c>
      <c r="AT31" s="40">
        <f>145379.72/206520.5*D31</f>
        <v>1341.865927421249</v>
      </c>
      <c r="AU31" s="30"/>
      <c r="AV31" s="30">
        <f>20083.92/4341*I31</f>
        <v>138.79695922598478</v>
      </c>
      <c r="AW31" s="30">
        <f>46783.46/1064*I31</f>
        <v>1319.0825187969924</v>
      </c>
      <c r="AX31" s="30">
        <f>21076.61/58093.7*D31</f>
        <v>691.57643568924</v>
      </c>
      <c r="AY31" s="30">
        <f>18053.18/206520.5*D31</f>
        <v>166.63223126033495</v>
      </c>
      <c r="AZ31" s="42">
        <f>BB31+BC31+BD31</f>
        <v>53305.892958926604</v>
      </c>
      <c r="BA31" s="42">
        <f>37.6/206520.5*D31</f>
        <v>0.3470508738841907</v>
      </c>
      <c r="BB31" s="30">
        <f>4053113.48/37.6*BA31</f>
        <v>37410.54721238812</v>
      </c>
      <c r="BC31" s="30">
        <f>887989.5/4053113.48*BB31</f>
        <v>8196.210956781531</v>
      </c>
      <c r="BD31" s="30">
        <f>834135.54/37.6*BA31</f>
        <v>7699.13478975695</v>
      </c>
      <c r="BE31" s="30">
        <f>3513152.23/206520.5*D31</f>
        <v>32426.663603981204</v>
      </c>
      <c r="BF31" s="40">
        <f>548217.52/206520.5*D31</f>
        <v>5060.089611559143</v>
      </c>
      <c r="BG31" s="30">
        <v>49162.13</v>
      </c>
      <c r="BH31" s="30">
        <v>1079.6</v>
      </c>
      <c r="BI31" s="30">
        <v>1.18</v>
      </c>
      <c r="BJ31" s="30">
        <v>11465.46</v>
      </c>
      <c r="BK31" s="30">
        <v>11219.68</v>
      </c>
      <c r="BL31" s="42"/>
      <c r="BM31" s="42"/>
      <c r="BN31" s="43"/>
      <c r="BO31" s="44"/>
      <c r="BP31" s="44"/>
      <c r="BQ31" s="44"/>
      <c r="BR31" s="44"/>
      <c r="BS31" s="45">
        <v>0.85</v>
      </c>
      <c r="BT31" s="46">
        <v>5149.44</v>
      </c>
      <c r="BU31" s="47">
        <v>5007.42</v>
      </c>
    </row>
    <row r="32" spans="1:73" ht="9.75" customHeight="1">
      <c r="A32" s="27">
        <v>23</v>
      </c>
      <c r="B32" s="28" t="s">
        <v>79</v>
      </c>
      <c r="C32" s="29">
        <v>24</v>
      </c>
      <c r="D32" s="30">
        <v>421.8</v>
      </c>
      <c r="E32" s="31">
        <v>1953</v>
      </c>
      <c r="F32" s="32">
        <v>2</v>
      </c>
      <c r="G32" s="32">
        <v>2</v>
      </c>
      <c r="H32" s="32"/>
      <c r="I32" s="32">
        <v>8</v>
      </c>
      <c r="J32" s="32"/>
      <c r="K32" s="33">
        <v>60.8</v>
      </c>
      <c r="L32" s="34">
        <f>77+136+108</f>
        <v>321</v>
      </c>
      <c r="M32" s="35">
        <v>0</v>
      </c>
      <c r="N32" s="35">
        <v>0</v>
      </c>
      <c r="O32" s="35">
        <v>695</v>
      </c>
      <c r="P32" s="32"/>
      <c r="Q32" s="36" t="s">
        <v>86</v>
      </c>
      <c r="R32" s="36" t="s">
        <v>85</v>
      </c>
      <c r="S32" s="35">
        <v>358</v>
      </c>
      <c r="T32" s="37">
        <v>11.55</v>
      </c>
      <c r="U32" s="37">
        <v>43846.2</v>
      </c>
      <c r="V32" s="37">
        <v>30242.23</v>
      </c>
      <c r="W32" s="38">
        <f>V32/U32*100</f>
        <v>68.97343441392869</v>
      </c>
      <c r="X32" s="37">
        <f>V32-Y32</f>
        <v>-90483.44070402373</v>
      </c>
      <c r="Y32" s="37">
        <f>Z32*1.18</f>
        <v>120725.67070402372</v>
      </c>
      <c r="Z32" s="37">
        <f>AA32+AG32+AR32+AZ32+BE32+BF32</f>
        <v>102309.89042713876</v>
      </c>
      <c r="AA32" s="30">
        <f>AE32+AF32</f>
        <v>12886.976668765741</v>
      </c>
      <c r="AB32" s="30">
        <v>0.25</v>
      </c>
      <c r="AC32" s="30">
        <f>3335677.04/79.4*AB32</f>
        <v>10502.761460957177</v>
      </c>
      <c r="AD32" s="30">
        <f>529475.59/3335677.04*AC32</f>
        <v>1667.114578085642</v>
      </c>
      <c r="AE32" s="30">
        <f>AC32+AD32</f>
        <v>12169.87603904282</v>
      </c>
      <c r="AF32" s="30">
        <f>227751.16/79.4*AB32</f>
        <v>717.1006297229219</v>
      </c>
      <c r="AG32" s="30">
        <f>AI32+AJ32+AK32+AL32+AM32+AO32+AP32+AQ32</f>
        <v>63579.69460506497</v>
      </c>
      <c r="AH32" s="30">
        <f>0.153+0.018</f>
        <v>0.17099999999999999</v>
      </c>
      <c r="AI32" s="30">
        <f>4838591.15/63.3*AH32</f>
        <v>13071.075618483414</v>
      </c>
      <c r="AJ32" s="30">
        <f>965412.23/4838591.15*AI32</f>
        <v>2607.9856450236966</v>
      </c>
      <c r="AK32" s="39">
        <f>43621.04</f>
        <v>43621.04</v>
      </c>
      <c r="AL32" s="40">
        <f>123624.91/74.3*(AH32+AN32)</f>
        <v>321.90152022293483</v>
      </c>
      <c r="AM32" s="40"/>
      <c r="AN32" s="37">
        <f>11/206520.5*D32</f>
        <v>0.022466534799208796</v>
      </c>
      <c r="AO32" s="37">
        <f>1348323.71/11*AN32</f>
        <v>2753.8328683012096</v>
      </c>
      <c r="AP32" s="30">
        <f>277648.69/1348323.71*AO32</f>
        <v>567.0730868945213</v>
      </c>
      <c r="AQ32" s="30">
        <f>311781.26/206520.5*D32</f>
        <v>636.7858661391969</v>
      </c>
      <c r="AR32" s="30">
        <f>AS32+AT32+AU32+AV32+AW32+AX32+AY32</f>
        <v>5752.809880204409</v>
      </c>
      <c r="AS32" s="30">
        <f>230*2.6*9</f>
        <v>5382</v>
      </c>
      <c r="AT32" s="40">
        <f>145379.72/206520.5*D32</f>
        <v>296.9253216799301</v>
      </c>
      <c r="AU32" s="30"/>
      <c r="AV32" s="30">
        <f>20083.92/4341*I32</f>
        <v>37.01252246026261</v>
      </c>
      <c r="AW32" s="30"/>
      <c r="AX32" s="30"/>
      <c r="AY32" s="30">
        <f>18053.18/206520.5*D32</f>
        <v>36.87203606421639</v>
      </c>
      <c r="AZ32" s="42">
        <f>BB32+BC32+BD32</f>
        <v>11795.417925755553</v>
      </c>
      <c r="BA32" s="42">
        <f>37.6/206520.5*D32</f>
        <v>0.0767947007682046</v>
      </c>
      <c r="BB32" s="30">
        <f>4053113.48/37.6*BA32</f>
        <v>8278.128640323841</v>
      </c>
      <c r="BC32" s="30">
        <f>887989.5/4053113.48*BB32</f>
        <v>1813.6406366438196</v>
      </c>
      <c r="BD32" s="30">
        <f>834135.54/37.6*BA32</f>
        <v>1703.6486487878926</v>
      </c>
      <c r="BE32" s="30">
        <f>3513152.23/206520.5*D32</f>
        <v>7175.305166382999</v>
      </c>
      <c r="BF32" s="40">
        <f>548217.52/206520.5*D32</f>
        <v>1119.686180965086</v>
      </c>
      <c r="BG32" s="30">
        <v>11198.88</v>
      </c>
      <c r="BH32" s="30">
        <v>0</v>
      </c>
      <c r="BI32" s="30">
        <v>1.18</v>
      </c>
      <c r="BJ32" s="30">
        <v>253.22</v>
      </c>
      <c r="BK32" s="30">
        <v>255.13</v>
      </c>
      <c r="BL32" s="42"/>
      <c r="BM32" s="42"/>
      <c r="BN32" s="43"/>
      <c r="BO32" s="44"/>
      <c r="BP32" s="44"/>
      <c r="BQ32" s="44"/>
      <c r="BR32" s="44"/>
      <c r="BS32" s="45">
        <v>0</v>
      </c>
      <c r="BT32" s="45">
        <v>0</v>
      </c>
      <c r="BU32" s="47">
        <v>0</v>
      </c>
    </row>
    <row r="33" spans="1:73" ht="9.75" customHeight="1">
      <c r="A33" s="27">
        <v>24</v>
      </c>
      <c r="B33" s="28" t="s">
        <v>79</v>
      </c>
      <c r="C33" s="29">
        <v>26</v>
      </c>
      <c r="D33" s="30">
        <v>357.6</v>
      </c>
      <c r="E33" s="31">
        <v>1953</v>
      </c>
      <c r="F33" s="32">
        <v>2</v>
      </c>
      <c r="G33" s="32">
        <v>2</v>
      </c>
      <c r="H33" s="32"/>
      <c r="I33" s="32">
        <v>8</v>
      </c>
      <c r="J33" s="32"/>
      <c r="K33" s="33">
        <v>60.8</v>
      </c>
      <c r="L33" s="34">
        <f>77+159+107</f>
        <v>343</v>
      </c>
      <c r="M33" s="35">
        <v>0</v>
      </c>
      <c r="N33" s="35">
        <v>0</v>
      </c>
      <c r="O33" s="35">
        <v>674</v>
      </c>
      <c r="P33" s="32"/>
      <c r="Q33" s="36" t="s">
        <v>86</v>
      </c>
      <c r="R33" s="36" t="s">
        <v>85</v>
      </c>
      <c r="S33" s="35">
        <v>359</v>
      </c>
      <c r="T33" s="37">
        <v>11.55</v>
      </c>
      <c r="U33" s="37">
        <v>40108.77</v>
      </c>
      <c r="V33" s="37">
        <v>41091.62</v>
      </c>
      <c r="W33" s="38">
        <f>V33/U33*100</f>
        <v>102.45046158234223</v>
      </c>
      <c r="X33" s="37">
        <f>V33-Y33</f>
        <v>-25765.89644340809</v>
      </c>
      <c r="Y33" s="37">
        <f>Z33*1.18</f>
        <v>66857.5164434081</v>
      </c>
      <c r="Z33" s="37">
        <f>AA33+AG33+AR33+AZ33+BE33+BF33</f>
        <v>56658.91224017636</v>
      </c>
      <c r="AA33" s="30">
        <f>AE33+AF33</f>
        <v>12886.976668765741</v>
      </c>
      <c r="AB33" s="30">
        <v>0.25</v>
      </c>
      <c r="AC33" s="30">
        <f>3335677.04/79.4*AB33</f>
        <v>10502.761460957177</v>
      </c>
      <c r="AD33" s="30">
        <f>529475.59/3335677.04*AC33</f>
        <v>1667.114578085642</v>
      </c>
      <c r="AE33" s="30">
        <f>AC33+AD33</f>
        <v>12169.87603904282</v>
      </c>
      <c r="AF33" s="30">
        <f>227751.16/79.4*AB33</f>
        <v>717.1006297229219</v>
      </c>
      <c r="AG33" s="30">
        <f>AI33+AJ33+AK33+AL33+AM33+AO33+AP33+AQ33</f>
        <v>21037.379447264328</v>
      </c>
      <c r="AH33" s="30">
        <f>0.154+0.018</f>
        <v>0.172</v>
      </c>
      <c r="AI33" s="30">
        <f>4838591.15/63.3*AH33</f>
        <v>13147.514657187994</v>
      </c>
      <c r="AJ33" s="30">
        <f>965412.23/4838591.15*AI33</f>
        <v>2623.2370230647707</v>
      </c>
      <c r="AK33" s="39">
        <v>1593.44</v>
      </c>
      <c r="AL33" s="40">
        <f>123624.91/74.3*(AH33+AN33)</f>
        <v>317.87578192534164</v>
      </c>
      <c r="AM33" s="40"/>
      <c r="AN33" s="37">
        <f>11/206520.5*D33</f>
        <v>0.019047019545275167</v>
      </c>
      <c r="AO33" s="37">
        <f>1348323.71/11*AN33</f>
        <v>2334.686187066175</v>
      </c>
      <c r="AP33" s="30">
        <f>277648.69/1348323.71*AO33</f>
        <v>480.761820468186</v>
      </c>
      <c r="AQ33" s="30">
        <f>311781.26/206520.5*D33</f>
        <v>539.8639775518654</v>
      </c>
      <c r="AR33" s="30">
        <f>AS33+AT33+AU33+AV33+AW33+AX33+AY33</f>
        <v>5702.00430797308</v>
      </c>
      <c r="AS33" s="30">
        <f>230*2.6*9</f>
        <v>5382</v>
      </c>
      <c r="AT33" s="40">
        <f>145379.72/206520.5*D33</f>
        <v>251.7318516660574</v>
      </c>
      <c r="AU33" s="30"/>
      <c r="AV33" s="30">
        <f>20083.92/4341*I33</f>
        <v>37.01252246026261</v>
      </c>
      <c r="AW33" s="30"/>
      <c r="AX33" s="30"/>
      <c r="AY33" s="30">
        <f>18053.18/206520.5*D33</f>
        <v>31.259933846760976</v>
      </c>
      <c r="AZ33" s="42">
        <f>BB33+BC33+BD33</f>
        <v>10000.098269915094</v>
      </c>
      <c r="BA33" s="42">
        <f>37.6/206520.5*D33</f>
        <v>0.0651061759002133</v>
      </c>
      <c r="BB33" s="30">
        <f>4053113.48/37.6*BA33</f>
        <v>7018.1574247980225</v>
      </c>
      <c r="BC33" s="30">
        <f>887989.5/4053113.48*BB33</f>
        <v>1537.5957602271928</v>
      </c>
      <c r="BD33" s="30">
        <f>834135.54/37.6*BA33</f>
        <v>1444.3450848898779</v>
      </c>
      <c r="BE33" s="30">
        <f>3513152.23/206520.5*D33</f>
        <v>6083.189017303368</v>
      </c>
      <c r="BF33" s="40">
        <f>548217.52/206520.5*D33</f>
        <v>949.2645289547527</v>
      </c>
      <c r="BG33" s="30">
        <v>9608.76</v>
      </c>
      <c r="BH33" s="30">
        <v>42</v>
      </c>
      <c r="BI33" s="30">
        <v>1.18</v>
      </c>
      <c r="BJ33" s="30">
        <v>519.38</v>
      </c>
      <c r="BK33" s="30">
        <v>661.97</v>
      </c>
      <c r="BL33" s="42"/>
      <c r="BM33" s="42"/>
      <c r="BN33" s="43"/>
      <c r="BO33" s="44"/>
      <c r="BP33" s="44"/>
      <c r="BQ33" s="44"/>
      <c r="BR33" s="44"/>
      <c r="BS33" s="45">
        <v>0</v>
      </c>
      <c r="BT33" s="45">
        <v>0</v>
      </c>
      <c r="BU33" s="47">
        <v>0</v>
      </c>
    </row>
    <row r="34" spans="1:73" ht="12.75">
      <c r="A34" s="53"/>
      <c r="B34" s="53" t="s">
        <v>104</v>
      </c>
      <c r="C34" s="54"/>
      <c r="D34" s="55">
        <f>SUM(D10:D33)</f>
        <v>88600.70000000003</v>
      </c>
      <c r="E34" s="56"/>
      <c r="F34" s="57"/>
      <c r="G34" s="57"/>
      <c r="H34" s="58">
        <f>H10+H16+H30</f>
        <v>16</v>
      </c>
      <c r="I34" s="59">
        <f>SUM(I10:I33)</f>
        <v>1808</v>
      </c>
      <c r="J34" s="58"/>
      <c r="K34" s="60">
        <f>SUM(K10:K33)</f>
        <v>10308.119999999999</v>
      </c>
      <c r="L34" s="61">
        <f>SUM(L10:L33)</f>
        <v>23092.6</v>
      </c>
      <c r="M34" s="61">
        <f>SUM(M10:M33)</f>
        <v>422</v>
      </c>
      <c r="N34" s="61">
        <f>SUM(N10:N33)</f>
        <v>14409</v>
      </c>
      <c r="O34" s="62">
        <f>SUM(O10:O33)</f>
        <v>62176</v>
      </c>
      <c r="P34" s="63">
        <f>SUM(P10:P33)</f>
        <v>2</v>
      </c>
      <c r="Q34" s="64"/>
      <c r="R34" s="64"/>
      <c r="S34" s="65">
        <f>SUM(S10:S33)</f>
        <v>26512</v>
      </c>
      <c r="T34" s="65"/>
      <c r="U34" s="55">
        <f>SUM(U10:U33)</f>
        <v>15384197.839999998</v>
      </c>
      <c r="V34" s="55">
        <f>SUM(V10:V33)</f>
        <v>14675543.199999997</v>
      </c>
      <c r="W34" s="55">
        <f>V34/U34*100</f>
        <v>95.39361982099939</v>
      </c>
      <c r="X34" s="55">
        <f>SUM(X10:X33)</f>
        <v>-903808.5488198721</v>
      </c>
      <c r="Y34" s="55">
        <f>SUM(Y10:Y33)</f>
        <v>15579351.748819873</v>
      </c>
      <c r="Z34" s="55">
        <f>SUM(Z10:Z33)</f>
        <v>13202840.465101587</v>
      </c>
      <c r="AA34" s="66">
        <f>SUM(AA10:AA33)</f>
        <v>1998152.669290887</v>
      </c>
      <c r="AB34" s="66">
        <f>SUM(AB10:AB33)</f>
        <v>33.46</v>
      </c>
      <c r="AC34" s="66">
        <f>SUM(AC10:AC33)</f>
        <v>1641602.5842037215</v>
      </c>
      <c r="AD34" s="66">
        <f>SUM(AD10:AD33)</f>
        <v>260573.33680504927</v>
      </c>
      <c r="AE34" s="66">
        <f>SUM(AE10:AE33)</f>
        <v>1902175.9210087708</v>
      </c>
      <c r="AF34" s="66">
        <f>SUM(AF10:AF33)</f>
        <v>95976.74828211588</v>
      </c>
      <c r="AG34" s="55">
        <f>SUM(AG10:AG33)</f>
        <v>4381319.513707139</v>
      </c>
      <c r="AH34" s="66">
        <f>SUM(AH10:AH33)</f>
        <v>26.58</v>
      </c>
      <c r="AI34" s="55">
        <f>SUM(AI10:AI33)</f>
        <v>2031749.648767773</v>
      </c>
      <c r="AJ34" s="55">
        <f>SUM(AJ10:AJ33)</f>
        <v>405381.6283317535</v>
      </c>
      <c r="AK34" s="55">
        <f>SUM(AK10:AK33)</f>
        <v>576646.2499999999</v>
      </c>
      <c r="AL34" s="55">
        <f>SUM(AL10:AL33)</f>
        <v>52077.50312598494</v>
      </c>
      <c r="AM34" s="55">
        <f>SUM(AM10:AM33)</f>
        <v>484136.21</v>
      </c>
      <c r="AN34" s="55">
        <f>SUM(AN10:AN33)</f>
        <v>4.719181388772544</v>
      </c>
      <c r="AO34" s="60">
        <f>SUM(AO10:AO33)</f>
        <v>578453.1052975224</v>
      </c>
      <c r="AP34" s="55">
        <f>SUM(AP10:AP33)</f>
        <v>119115.86640591611</v>
      </c>
      <c r="AQ34" s="55">
        <f>SUM(AQ10:AQ33)</f>
        <v>133759.30177818667</v>
      </c>
      <c r="AR34" s="55">
        <f>SUM(AR10:AR33)</f>
        <v>2603301.1297008297</v>
      </c>
      <c r="AS34" s="66">
        <f>SUM(AS10:AS33)</f>
        <v>1142414.1</v>
      </c>
      <c r="AT34" s="55">
        <f>SUM(AT10:AT33)</f>
        <v>62370.29717536033</v>
      </c>
      <c r="AU34" s="55">
        <f>SUM(AU10:AU33)</f>
        <v>1355325.28</v>
      </c>
      <c r="AV34" s="55">
        <f>SUM(AV10:AV33)</f>
        <v>8831.51949777079</v>
      </c>
      <c r="AW34" s="55">
        <f>SUM(AW10:AW33)</f>
        <v>15389.384022556393</v>
      </c>
      <c r="AX34" s="55">
        <f>SUM(AX10:AX33)</f>
        <v>11225.437090218044</v>
      </c>
      <c r="AY34" s="55">
        <f>SUM(AY10:AY33)</f>
        <v>7745.111914923701</v>
      </c>
      <c r="AZ34" s="55">
        <f>SUM(AZ10:AZ33)</f>
        <v>2477672.558118753</v>
      </c>
      <c r="BA34" s="55">
        <f>SUM(BA10:BA33)</f>
        <v>16.131020019804332</v>
      </c>
      <c r="BB34" s="55">
        <f>SUM(BB10:BB33)</f>
        <v>1738852.5183090104</v>
      </c>
      <c r="BC34" s="55">
        <f>SUM(BC10:BC33)</f>
        <v>380962.13834776694</v>
      </c>
      <c r="BD34" s="55">
        <f>SUM(BD10:BD33)</f>
        <v>357857.90146197594</v>
      </c>
      <c r="BE34" s="55">
        <f>SUM(BE10:BE33)</f>
        <v>1507200.238158251</v>
      </c>
      <c r="BF34" s="55">
        <f>SUM(BF10:BF33)</f>
        <v>235194.35612573088</v>
      </c>
      <c r="BG34" s="55">
        <f>SUM(BG10:BG33)</f>
        <v>2293869.8299999996</v>
      </c>
      <c r="BH34" s="67">
        <f>SUM(BH10:BH33)</f>
        <v>56165.5</v>
      </c>
      <c r="BI34" s="66"/>
      <c r="BJ34" s="55">
        <f>SUM(BJ10:BJ33)</f>
        <v>540800.04</v>
      </c>
      <c r="BK34" s="55">
        <f>SUM(BK10:BK33)</f>
        <v>551349.63</v>
      </c>
      <c r="BL34" s="68"/>
      <c r="BM34" s="68"/>
      <c r="BN34" s="67">
        <f>BN10+BN16+BN18+BN23+BN30+BN22</f>
        <v>779914.74</v>
      </c>
      <c r="BO34" s="69"/>
      <c r="BP34" s="69"/>
      <c r="BQ34" s="69"/>
      <c r="BR34" s="69"/>
      <c r="BS34" s="70"/>
      <c r="BT34" s="66">
        <f>SUM(BT10:BT33)</f>
        <v>215945.37999999998</v>
      </c>
      <c r="BU34" s="66">
        <f>SUM(BU10:BU33)</f>
        <v>218709.68999999997</v>
      </c>
    </row>
    <row r="35" spans="1:39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AJ35" s="71"/>
      <c r="AK35" s="72"/>
      <c r="AL35" s="72"/>
      <c r="AM35" s="72"/>
    </row>
    <row r="36" spans="1:3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AJ36" s="71"/>
      <c r="AK36" s="73"/>
      <c r="AL36" s="72"/>
      <c r="AM36" s="73"/>
    </row>
  </sheetData>
  <sheetProtection selectLockedCells="1" selectUnlockedCells="1"/>
  <mergeCells count="30">
    <mergeCell ref="A4:Q4"/>
    <mergeCell ref="A5:Q5"/>
    <mergeCell ref="A6:Q6"/>
    <mergeCell ref="AA6:AF6"/>
    <mergeCell ref="AG6:AQ6"/>
    <mergeCell ref="AR6:AY6"/>
    <mergeCell ref="BH6:BR6"/>
    <mergeCell ref="BS6:BU6"/>
    <mergeCell ref="A7:Q7"/>
    <mergeCell ref="AA7:AA8"/>
    <mergeCell ref="AB7:AF7"/>
    <mergeCell ref="AG7:AG8"/>
    <mergeCell ref="AH7:AQ7"/>
    <mergeCell ref="AR7:AR8"/>
    <mergeCell ref="AS7:AY7"/>
    <mergeCell ref="AZ7:AZ8"/>
    <mergeCell ref="BA7:BD7"/>
    <mergeCell ref="BE7:BE8"/>
    <mergeCell ref="BF7:BF8"/>
    <mergeCell ref="BG7:BG8"/>
    <mergeCell ref="BH7:BH8"/>
    <mergeCell ref="BI7:BI8"/>
    <mergeCell ref="BJ7:BJ8"/>
    <mergeCell ref="BK7:BK8"/>
    <mergeCell ref="BL7:BN7"/>
    <mergeCell ref="BO7:BR7"/>
    <mergeCell ref="BS7:BS8"/>
    <mergeCell ref="BT7:BT8"/>
    <mergeCell ref="BU7:BU8"/>
    <mergeCell ref="AJ35:AJ36"/>
  </mergeCells>
  <printOptions horizontalCentered="1" verticalCentered="1"/>
  <pageMargins left="0.022222222222222223" right="0.06597222222222222" top="0.001388888888888889" bottom="0.04236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George Cronos</cp:lastModifiedBy>
  <cp:lastPrinted>2010-11-18T06:55:13Z</cp:lastPrinted>
  <dcterms:modified xsi:type="dcterms:W3CDTF">2010-12-18T09:21:27Z</dcterms:modified>
  <cp:category/>
  <cp:version/>
  <cp:contentType/>
  <cp:contentStatus/>
  <cp:revision>32</cp:revision>
</cp:coreProperties>
</file>