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домовый учет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<sst xmlns="http://schemas.openxmlformats.org/spreadsheetml/2006/main" count="119" uniqueCount="91">
  <si>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>ПОДОМОВЫЙ УЧЕТ СРЕДСТВ</t>
  </si>
  <si>
    <t xml:space="preserve"> собственников  и нанимателей многоквартирных домов,</t>
  </si>
  <si>
    <t>находящихся в управлении МУЖРП-9 г. Подольска</t>
  </si>
  <si>
    <t>Статьи расхода по ставке содержание и ремонт жилищного фонда</t>
  </si>
  <si>
    <t>Капитальный ремонт</t>
  </si>
  <si>
    <t>НАЁМ</t>
  </si>
  <si>
    <t xml:space="preserve">за 9 месяцев  2010 года </t>
  </si>
  <si>
    <t>Санитарное содержание дома, всего</t>
  </si>
  <si>
    <t>в том числе:</t>
  </si>
  <si>
    <t>Текущий ремонт, всего</t>
  </si>
  <si>
    <t>Услуги сторонних органи заций, всего</t>
  </si>
  <si>
    <t>Содержание АУП</t>
  </si>
  <si>
    <t>Услуги управления (ИРЦ)</t>
  </si>
  <si>
    <t>Прочие прямые расходы</t>
  </si>
  <si>
    <t>Вывоз ТБО и КГМ</t>
  </si>
  <si>
    <t xml:space="preserve">Площадь собственников  помещений </t>
  </si>
  <si>
    <t>Ставка     К.Р. (руб/кв.м)</t>
  </si>
  <si>
    <t>Начислено</t>
  </si>
  <si>
    <t>Собрано</t>
  </si>
  <si>
    <t>Израсходовано (руб.)</t>
  </si>
  <si>
    <t>За счет др. ист-ков фин-ирования</t>
  </si>
  <si>
    <t>Ставка найма (руб./кв.м.)</t>
  </si>
  <si>
    <t>№  п/п</t>
  </si>
  <si>
    <t>Название улиц</t>
  </si>
  <si>
    <t>n\n    домов</t>
  </si>
  <si>
    <t xml:space="preserve">Общая площадь собственников и нанимателей помещений </t>
  </si>
  <si>
    <t>Год  застройки</t>
  </si>
  <si>
    <t>К-во п-дов</t>
  </si>
  <si>
    <t>Кол-во этажей</t>
  </si>
  <si>
    <t>К-во лиф-в</t>
  </si>
  <si>
    <t>Кол-во квартир</t>
  </si>
  <si>
    <t>Кол-во эл.плит</t>
  </si>
  <si>
    <t>Уб.пл.    л/кл.</t>
  </si>
  <si>
    <t>Пл.тротуаров</t>
  </si>
  <si>
    <t>Пл.пр.замощений</t>
  </si>
  <si>
    <t>Пл.грунта</t>
  </si>
  <si>
    <t>пл.газона</t>
  </si>
  <si>
    <t>Ко-во м/пр-ов</t>
  </si>
  <si>
    <t>Мат-л стен</t>
  </si>
  <si>
    <t>Мат-л кровли</t>
  </si>
  <si>
    <t>Пл.кровли</t>
  </si>
  <si>
    <t>Ставка   Т/О (руб/кв.м)</t>
  </si>
  <si>
    <t>Запланированый доход (начислено по тарифу)</t>
  </si>
  <si>
    <t>Фактический доход (оплачено населением</t>
  </si>
  <si>
    <t>% сбора</t>
  </si>
  <si>
    <t>Фактический результат по дому:  Собрано- израсходовано (с НДС)</t>
  </si>
  <si>
    <t>ВСЕГО фактический      расход              ( с НДС)</t>
  </si>
  <si>
    <t>ВСЕГО фактический расход по содержанию ж/ф ,без учета мусора  без НДС)</t>
  </si>
  <si>
    <t>Численность</t>
  </si>
  <si>
    <t>Заботная плата</t>
  </si>
  <si>
    <t>Отчисления на соц.нужды</t>
  </si>
  <si>
    <t>ИТОГО: З/плата + начисления</t>
  </si>
  <si>
    <t>Материалы МОП</t>
  </si>
  <si>
    <t>Заработная плата</t>
  </si>
  <si>
    <t>Начисления на з/плату</t>
  </si>
  <si>
    <t>Материалы по факту (см. приложение)</t>
  </si>
  <si>
    <t>Инструмент</t>
  </si>
  <si>
    <t>Подрядные работы по Т.Р.</t>
  </si>
  <si>
    <t>Численность АДС</t>
  </si>
  <si>
    <t>З/плата</t>
  </si>
  <si>
    <t xml:space="preserve">Начисления на з/плату </t>
  </si>
  <si>
    <t>Содержание транспорта</t>
  </si>
  <si>
    <t>Освещение мест общего пользования</t>
  </si>
  <si>
    <t>Дератизация и дезинсекция</t>
  </si>
  <si>
    <t>Обслуживание лифтов</t>
  </si>
  <si>
    <t xml:space="preserve">Очистка вентканалов </t>
  </si>
  <si>
    <t>Очистка дымоходов</t>
  </si>
  <si>
    <t>Т/О внутридомовых газовых сетей и вводов</t>
  </si>
  <si>
    <r>
      <t>Прочие</t>
    </r>
    <r>
      <rPr>
        <b/>
        <sz val="7"/>
        <rFont val="Arial"/>
        <family val="2"/>
      </rPr>
      <t xml:space="preserve"> (пр-пож.мер-я,уб.кр-ль от сн.,з-р сопр-я,хим.оч.вода,р-нт обор-я)</t>
    </r>
  </si>
  <si>
    <t>Численность АУП и вспом. Персонала</t>
  </si>
  <si>
    <t>Начисления на  з/плату</t>
  </si>
  <si>
    <t>Прочие расходы</t>
  </si>
  <si>
    <t>Год кап.ремонта</t>
  </si>
  <si>
    <t>Вид кап.ремонта</t>
  </si>
  <si>
    <t>Сумма затраченных средств</t>
  </si>
  <si>
    <t>Энергосбережения</t>
  </si>
  <si>
    <t>Гор.бюджета</t>
  </si>
  <si>
    <t>Обл.бюджета</t>
  </si>
  <si>
    <t>Инвестпрограмм</t>
  </si>
  <si>
    <t>Курчатова</t>
  </si>
  <si>
    <t>11\12</t>
  </si>
  <si>
    <t>дерево</t>
  </si>
  <si>
    <t>шифер</t>
  </si>
  <si>
    <t>17\5</t>
  </si>
  <si>
    <t>кирпич</t>
  </si>
  <si>
    <t>совмещ.</t>
  </si>
  <si>
    <t>панель</t>
  </si>
  <si>
    <t>61а</t>
  </si>
  <si>
    <t>61б</t>
  </si>
  <si>
    <t>ИТОГО:</t>
  </si>
  <si>
    <t xml:space="preserve">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</si>
</sst>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0.00"/>
    <numFmt numFmtId="168" formatCode="#,##0.0"/>
    <numFmt numFmtId="169" formatCode="0.0"/>
    <numFmt numFmtId="170" formatCode="#,##0"/>
    <numFmt numFmtId="171" formatCode="#,##0.00;[RED]\-#,##0.00"/>
  </numFmts>
  <fonts count="1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 Cyr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right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65" fontId="5" fillId="2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71" fontId="11" fillId="0" borderId="1" xfId="0" applyNumberFormat="1" applyFont="1" applyBorder="1" applyAlignment="1">
      <alignment/>
    </xf>
    <xf numFmtId="164" fontId="12" fillId="0" borderId="1" xfId="0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164" fontId="5" fillId="0" borderId="1" xfId="0" applyFont="1" applyFill="1" applyBorder="1" applyAlignment="1">
      <alignment horizontal="right"/>
    </xf>
    <xf numFmtId="171" fontId="5" fillId="0" borderId="1" xfId="0" applyNumberFormat="1" applyFont="1" applyBorder="1" applyAlignment="1">
      <alignment/>
    </xf>
    <xf numFmtId="164" fontId="13" fillId="0" borderId="1" xfId="0" applyFont="1" applyBorder="1" applyAlignment="1">
      <alignment/>
    </xf>
    <xf numFmtId="164" fontId="14" fillId="3" borderId="1" xfId="0" applyFont="1" applyFill="1" applyBorder="1" applyAlignment="1">
      <alignment/>
    </xf>
    <xf numFmtId="164" fontId="14" fillId="3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 horizontal="center"/>
    </xf>
    <xf numFmtId="169" fontId="13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5" fontId="9" fillId="3" borderId="1" xfId="0" applyNumberFormat="1" applyFont="1" applyFill="1" applyBorder="1" applyAlignment="1">
      <alignment/>
    </xf>
    <xf numFmtId="168" fontId="5" fillId="3" borderId="1" xfId="0" applyNumberFormat="1" applyFont="1" applyFill="1" applyBorder="1" applyAlignment="1">
      <alignment/>
    </xf>
    <xf numFmtId="168" fontId="9" fillId="3" borderId="1" xfId="0" applyNumberFormat="1" applyFont="1" applyFill="1" applyBorder="1" applyAlignment="1">
      <alignment/>
    </xf>
    <xf numFmtId="170" fontId="5" fillId="3" borderId="1" xfId="0" applyNumberFormat="1" applyFont="1" applyFill="1" applyBorder="1" applyAlignment="1">
      <alignment/>
    </xf>
    <xf numFmtId="170" fontId="3" fillId="3" borderId="1" xfId="0" applyNumberFormat="1" applyFont="1" applyFill="1" applyBorder="1" applyAlignment="1">
      <alignment/>
    </xf>
    <xf numFmtId="168" fontId="3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171" fontId="5" fillId="3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13" fillId="3" borderId="1" xfId="0" applyFont="1" applyFill="1" applyBorder="1" applyAlignment="1">
      <alignment/>
    </xf>
    <xf numFmtId="165" fontId="13" fillId="3" borderId="1" xfId="0" applyNumberFormat="1" applyFont="1" applyFill="1" applyBorder="1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0"/>
  <sheetViews>
    <sheetView tabSelected="1" workbookViewId="0" topLeftCell="A6">
      <selection activeCell="BN19" sqref="BN19"/>
    </sheetView>
  </sheetViews>
  <sheetFormatPr defaultColWidth="9.140625" defaultRowHeight="12.75"/>
  <cols>
    <col min="1" max="1" width="3.00390625" style="1" customWidth="1"/>
    <col min="2" max="2" width="13.7109375" style="1" customWidth="1"/>
    <col min="3" max="3" width="4.57421875" style="1" customWidth="1"/>
    <col min="4" max="4" width="13.57421875" style="1" customWidth="1"/>
    <col min="5" max="5" width="6.00390625" style="1" customWidth="1"/>
    <col min="6" max="6" width="3.28125" style="1" customWidth="1"/>
    <col min="7" max="7" width="3.421875" style="1" customWidth="1"/>
    <col min="8" max="9" width="4.28125" style="1" customWidth="1"/>
    <col min="10" max="10" width="3.57421875" style="1" customWidth="1"/>
    <col min="11" max="11" width="6.7109375" style="1" customWidth="1"/>
    <col min="12" max="12" width="7.7109375" style="1" customWidth="1"/>
    <col min="13" max="13" width="6.7109375" style="1" customWidth="1"/>
    <col min="14" max="14" width="8.00390625" style="1" customWidth="1"/>
    <col min="15" max="15" width="7.140625" style="1" customWidth="1"/>
    <col min="16" max="16" width="3.7109375" style="1" customWidth="1"/>
    <col min="17" max="18" width="8.421875" style="1" customWidth="1"/>
    <col min="19" max="19" width="9.7109375" style="1" customWidth="1"/>
    <col min="20" max="20" width="8.57421875" style="1" customWidth="1"/>
    <col min="21" max="21" width="12.57421875" style="1" customWidth="1"/>
    <col min="22" max="22" width="12.8515625" style="1" customWidth="1"/>
    <col min="23" max="23" width="7.140625" style="1" customWidth="1"/>
    <col min="24" max="25" width="14.421875" style="1" customWidth="1"/>
    <col min="26" max="26" width="15.8515625" style="1" customWidth="1"/>
    <col min="27" max="27" width="22.140625" style="1" customWidth="1"/>
    <col min="28" max="28" width="15.140625" style="1" customWidth="1"/>
    <col min="29" max="29" width="13.7109375" style="1" customWidth="1"/>
    <col min="30" max="30" width="18.421875" style="1" customWidth="1"/>
    <col min="31" max="31" width="19.57421875" style="1" customWidth="1"/>
    <col min="32" max="32" width="12.140625" style="1" customWidth="1"/>
    <col min="33" max="33" width="10.421875" style="1" customWidth="1"/>
    <col min="34" max="34" width="7.421875" style="1" customWidth="1"/>
    <col min="35" max="35" width="10.421875" style="1" customWidth="1"/>
    <col min="36" max="36" width="9.7109375" style="1" customWidth="1"/>
    <col min="37" max="37" width="11.28125" style="1" customWidth="1"/>
    <col min="38" max="38" width="9.00390625" style="1" customWidth="1"/>
    <col min="39" max="39" width="8.421875" style="1" customWidth="1"/>
    <col min="40" max="40" width="7.28125" style="1" customWidth="1"/>
    <col min="41" max="41" width="9.140625" style="1" customWidth="1"/>
    <col min="42" max="42" width="8.7109375" style="1" customWidth="1"/>
    <col min="43" max="44" width="12.140625" style="1" customWidth="1"/>
    <col min="45" max="45" width="10.8515625" style="1" customWidth="1"/>
    <col min="46" max="46" width="9.28125" style="1" customWidth="1"/>
    <col min="47" max="47" width="10.8515625" style="1" customWidth="1"/>
    <col min="48" max="48" width="12.8515625" style="1" customWidth="1"/>
    <col min="49" max="49" width="12.421875" style="1" customWidth="1"/>
    <col min="50" max="50" width="12.28125" style="1" customWidth="1"/>
    <col min="51" max="51" width="14.7109375" style="1" customWidth="1"/>
    <col min="52" max="53" width="11.7109375" style="1" customWidth="1"/>
    <col min="54" max="54" width="11.8515625" style="1" customWidth="1"/>
    <col min="56" max="56" width="12.28125" style="1" customWidth="1"/>
    <col min="57" max="57" width="15.57421875" style="1" customWidth="1"/>
    <col min="58" max="58" width="15.28125" style="1" customWidth="1"/>
    <col min="59" max="59" width="11.8515625" style="1" customWidth="1"/>
    <col min="60" max="60" width="9.7109375" style="1" customWidth="1"/>
    <col min="61" max="61" width="8.7109375" style="1" customWidth="1"/>
    <col min="62" max="62" width="10.00390625" style="1" customWidth="1"/>
    <col min="63" max="63" width="10.28125" style="1" customWidth="1"/>
    <col min="64" max="64" width="7.8515625" style="1" customWidth="1"/>
    <col min="65" max="65" width="11.140625" style="1" customWidth="1"/>
    <col min="66" max="66" width="9.7109375" style="1" customWidth="1"/>
    <col min="67" max="67" width="5.140625" style="1" customWidth="1"/>
    <col min="68" max="69" width="5.28125" style="1" customWidth="1"/>
    <col min="70" max="70" width="8.7109375" style="1" customWidth="1"/>
    <col min="71" max="71" width="14.57421875" style="1" customWidth="1"/>
    <col min="72" max="72" width="16.57421875" style="1" customWidth="1"/>
    <col min="73" max="73" width="18.8515625" style="1" customWidth="1"/>
  </cols>
  <sheetData>
    <row r="1" spans="1:17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0.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79" ht="11.2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F5" s="1">
        <v>3</v>
      </c>
      <c r="AQ5" s="1">
        <v>4</v>
      </c>
      <c r="AY5" s="1">
        <v>5</v>
      </c>
      <c r="BG5" s="1">
        <v>6</v>
      </c>
      <c r="BR5" s="1">
        <v>7</v>
      </c>
      <c r="CA5" s="1">
        <v>8</v>
      </c>
    </row>
    <row r="6" spans="1:73" ht="10.5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AA6" s="4" t="s">
        <v>3</v>
      </c>
      <c r="AB6" s="4"/>
      <c r="AC6" s="4"/>
      <c r="AD6" s="4"/>
      <c r="AE6" s="4"/>
      <c r="AF6" s="4"/>
      <c r="AG6" s="4" t="s">
        <v>3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 t="s">
        <v>3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 t="s">
        <v>4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5" t="s">
        <v>5</v>
      </c>
      <c r="BT6" s="5"/>
      <c r="BU6" s="5"/>
    </row>
    <row r="7" spans="1:73" ht="9.75" customHeight="1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Z7" s="1">
        <v>2</v>
      </c>
      <c r="AA7" s="6" t="s">
        <v>7</v>
      </c>
      <c r="AB7" s="7" t="s">
        <v>8</v>
      </c>
      <c r="AC7" s="7"/>
      <c r="AD7" s="7"/>
      <c r="AE7" s="7"/>
      <c r="AF7" s="7"/>
      <c r="AG7" s="8" t="s">
        <v>9</v>
      </c>
      <c r="AH7" s="9" t="s">
        <v>8</v>
      </c>
      <c r="AI7" s="9"/>
      <c r="AJ7" s="9"/>
      <c r="AK7" s="9"/>
      <c r="AL7" s="9"/>
      <c r="AM7" s="9"/>
      <c r="AN7" s="9"/>
      <c r="AO7" s="9"/>
      <c r="AP7" s="9"/>
      <c r="AQ7" s="9"/>
      <c r="AR7" s="10" t="s">
        <v>10</v>
      </c>
      <c r="AS7" s="11" t="s">
        <v>8</v>
      </c>
      <c r="AT7" s="11"/>
      <c r="AU7" s="11"/>
      <c r="AV7" s="11"/>
      <c r="AW7" s="11"/>
      <c r="AX7" s="11"/>
      <c r="AY7" s="11"/>
      <c r="AZ7" s="12" t="s">
        <v>11</v>
      </c>
      <c r="BA7" s="11" t="s">
        <v>8</v>
      </c>
      <c r="BB7" s="11"/>
      <c r="BC7" s="11"/>
      <c r="BD7" s="11"/>
      <c r="BE7" s="13" t="s">
        <v>12</v>
      </c>
      <c r="BF7" s="13" t="s">
        <v>13</v>
      </c>
      <c r="BG7" s="13" t="s">
        <v>14</v>
      </c>
      <c r="BH7" s="14" t="s">
        <v>15</v>
      </c>
      <c r="BI7" s="15" t="s">
        <v>16</v>
      </c>
      <c r="BJ7" s="15" t="s">
        <v>17</v>
      </c>
      <c r="BK7" s="15" t="s">
        <v>18</v>
      </c>
      <c r="BL7" s="5" t="s">
        <v>19</v>
      </c>
      <c r="BM7" s="5"/>
      <c r="BN7" s="5"/>
      <c r="BO7" s="16" t="s">
        <v>20</v>
      </c>
      <c r="BP7" s="16"/>
      <c r="BQ7" s="16"/>
      <c r="BR7" s="16"/>
      <c r="BS7" s="10" t="s">
        <v>21</v>
      </c>
      <c r="BT7" s="10" t="s">
        <v>17</v>
      </c>
      <c r="BU7" s="17" t="s">
        <v>18</v>
      </c>
    </row>
    <row r="8" spans="1:73" ht="36" customHeight="1">
      <c r="A8" s="18" t="s">
        <v>22</v>
      </c>
      <c r="B8" s="18" t="s">
        <v>23</v>
      </c>
      <c r="C8" s="18" t="s">
        <v>24</v>
      </c>
      <c r="D8" s="19" t="s">
        <v>25</v>
      </c>
      <c r="E8" s="6" t="s">
        <v>26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12" t="s">
        <v>32</v>
      </c>
      <c r="L8" s="6" t="s">
        <v>33</v>
      </c>
      <c r="M8" s="12" t="s">
        <v>34</v>
      </c>
      <c r="N8" s="20" t="s">
        <v>35</v>
      </c>
      <c r="O8" s="12" t="s">
        <v>36</v>
      </c>
      <c r="P8" s="20" t="s">
        <v>37</v>
      </c>
      <c r="Q8" s="6" t="s">
        <v>38</v>
      </c>
      <c r="R8" s="6" t="s">
        <v>39</v>
      </c>
      <c r="S8" s="6" t="s">
        <v>40</v>
      </c>
      <c r="T8" s="21" t="s">
        <v>41</v>
      </c>
      <c r="U8" s="19" t="s">
        <v>42</v>
      </c>
      <c r="V8" s="19" t="s">
        <v>43</v>
      </c>
      <c r="W8" s="6" t="s">
        <v>44</v>
      </c>
      <c r="X8" s="22" t="s">
        <v>45</v>
      </c>
      <c r="Y8" s="20" t="s">
        <v>46</v>
      </c>
      <c r="Z8" s="20" t="s">
        <v>47</v>
      </c>
      <c r="AA8" s="6"/>
      <c r="AB8" s="6" t="s">
        <v>48</v>
      </c>
      <c r="AC8" s="6" t="s">
        <v>49</v>
      </c>
      <c r="AD8" s="6" t="s">
        <v>50</v>
      </c>
      <c r="AE8" s="6" t="s">
        <v>51</v>
      </c>
      <c r="AF8" s="6" t="s">
        <v>52</v>
      </c>
      <c r="AG8" s="8"/>
      <c r="AH8" s="12" t="s">
        <v>48</v>
      </c>
      <c r="AI8" s="12" t="s">
        <v>53</v>
      </c>
      <c r="AJ8" s="12" t="s">
        <v>54</v>
      </c>
      <c r="AK8" s="20" t="s">
        <v>55</v>
      </c>
      <c r="AL8" s="12" t="s">
        <v>56</v>
      </c>
      <c r="AM8" s="20" t="s">
        <v>57</v>
      </c>
      <c r="AN8" s="12" t="s">
        <v>58</v>
      </c>
      <c r="AO8" s="12" t="s">
        <v>59</v>
      </c>
      <c r="AP8" s="12" t="s">
        <v>60</v>
      </c>
      <c r="AQ8" s="12" t="s">
        <v>61</v>
      </c>
      <c r="AR8" s="10"/>
      <c r="AS8" s="20" t="s">
        <v>62</v>
      </c>
      <c r="AT8" s="20" t="s">
        <v>63</v>
      </c>
      <c r="AU8" s="12" t="s">
        <v>64</v>
      </c>
      <c r="AV8" s="12" t="s">
        <v>65</v>
      </c>
      <c r="AW8" s="12" t="s">
        <v>66</v>
      </c>
      <c r="AX8" s="20" t="s">
        <v>67</v>
      </c>
      <c r="AY8" s="23" t="s">
        <v>68</v>
      </c>
      <c r="AZ8" s="12"/>
      <c r="BA8" s="12" t="s">
        <v>69</v>
      </c>
      <c r="BB8" s="12" t="s">
        <v>59</v>
      </c>
      <c r="BC8" s="12" t="s">
        <v>70</v>
      </c>
      <c r="BD8" s="13" t="s">
        <v>71</v>
      </c>
      <c r="BE8" s="13"/>
      <c r="BF8" s="13"/>
      <c r="BG8" s="13"/>
      <c r="BH8" s="14"/>
      <c r="BI8" s="14"/>
      <c r="BJ8" s="14"/>
      <c r="BK8" s="14"/>
      <c r="BL8" s="13" t="s">
        <v>72</v>
      </c>
      <c r="BM8" s="13" t="s">
        <v>73</v>
      </c>
      <c r="BN8" s="20" t="s">
        <v>74</v>
      </c>
      <c r="BO8" s="20" t="s">
        <v>75</v>
      </c>
      <c r="BP8" s="13" t="s">
        <v>76</v>
      </c>
      <c r="BQ8" s="13" t="s">
        <v>77</v>
      </c>
      <c r="BR8" s="13" t="s">
        <v>78</v>
      </c>
      <c r="BS8" s="10"/>
      <c r="BT8" s="10"/>
      <c r="BU8" s="17"/>
    </row>
    <row r="9" spans="1:73" ht="12.7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4">
        <v>27</v>
      </c>
      <c r="AB9" s="24">
        <v>28</v>
      </c>
      <c r="AC9" s="25">
        <v>29</v>
      </c>
      <c r="AD9" s="24">
        <v>30</v>
      </c>
      <c r="AE9" s="24">
        <v>31</v>
      </c>
      <c r="AF9" s="24">
        <v>32</v>
      </c>
      <c r="AG9" s="24">
        <v>33</v>
      </c>
      <c r="AH9" s="24">
        <v>34</v>
      </c>
      <c r="AI9" s="26">
        <v>35</v>
      </c>
      <c r="AJ9" s="24">
        <v>36</v>
      </c>
      <c r="AK9" s="24">
        <v>37</v>
      </c>
      <c r="AL9" s="26">
        <v>38</v>
      </c>
      <c r="AM9" s="24">
        <v>39</v>
      </c>
      <c r="AN9" s="24">
        <v>40</v>
      </c>
      <c r="AO9" s="24">
        <v>41</v>
      </c>
      <c r="AP9" s="25">
        <v>42</v>
      </c>
      <c r="AQ9" s="25">
        <v>43</v>
      </c>
      <c r="AR9" s="24">
        <v>44</v>
      </c>
      <c r="AS9" s="24">
        <v>45</v>
      </c>
      <c r="AT9" s="25">
        <v>46</v>
      </c>
      <c r="AU9" s="24">
        <v>47</v>
      </c>
      <c r="AV9" s="24">
        <v>48</v>
      </c>
      <c r="AW9" s="24">
        <v>49</v>
      </c>
      <c r="AX9" s="24">
        <v>50</v>
      </c>
      <c r="AY9" s="24">
        <v>51</v>
      </c>
      <c r="AZ9" s="24">
        <v>52</v>
      </c>
      <c r="BA9" s="24">
        <v>53</v>
      </c>
      <c r="BB9" s="25">
        <v>54</v>
      </c>
      <c r="BC9" s="24">
        <v>55</v>
      </c>
      <c r="BD9" s="24">
        <v>56</v>
      </c>
      <c r="BE9" s="24">
        <v>57</v>
      </c>
      <c r="BF9" s="24">
        <v>58</v>
      </c>
      <c r="BG9" s="25">
        <v>59</v>
      </c>
      <c r="BH9" s="24">
        <v>60</v>
      </c>
      <c r="BI9" s="24">
        <v>61</v>
      </c>
      <c r="BJ9" s="25">
        <v>62</v>
      </c>
      <c r="BK9" s="24">
        <v>63</v>
      </c>
      <c r="BL9" s="24">
        <v>64</v>
      </c>
      <c r="BM9" s="24">
        <v>65</v>
      </c>
      <c r="BN9" s="24">
        <v>66</v>
      </c>
      <c r="BO9" s="24">
        <v>67</v>
      </c>
      <c r="BP9" s="25">
        <v>68</v>
      </c>
      <c r="BQ9" s="24">
        <v>69</v>
      </c>
      <c r="BR9" s="24">
        <v>70</v>
      </c>
      <c r="BS9" s="24">
        <v>71</v>
      </c>
      <c r="BT9" s="24">
        <v>72</v>
      </c>
      <c r="BU9" s="24">
        <v>73</v>
      </c>
    </row>
    <row r="10" spans="1:73" ht="10.5" customHeight="1">
      <c r="A10" s="27">
        <v>46</v>
      </c>
      <c r="B10" s="27" t="s">
        <v>79</v>
      </c>
      <c r="C10" s="28" t="s">
        <v>80</v>
      </c>
      <c r="D10" s="29">
        <v>913.1</v>
      </c>
      <c r="E10" s="30">
        <v>1952</v>
      </c>
      <c r="F10" s="31">
        <v>2</v>
      </c>
      <c r="G10" s="31">
        <v>2</v>
      </c>
      <c r="H10" s="31"/>
      <c r="I10" s="31">
        <v>12</v>
      </c>
      <c r="J10" s="31"/>
      <c r="K10" s="32">
        <v>82</v>
      </c>
      <c r="L10" s="33">
        <f>79+139+147</f>
        <v>365</v>
      </c>
      <c r="M10" s="34">
        <v>0</v>
      </c>
      <c r="N10" s="34">
        <v>0</v>
      </c>
      <c r="O10" s="34">
        <v>1141</v>
      </c>
      <c r="P10" s="31"/>
      <c r="Q10" s="35" t="s">
        <v>81</v>
      </c>
      <c r="R10" s="35" t="s">
        <v>82</v>
      </c>
      <c r="S10" s="34">
        <v>888</v>
      </c>
      <c r="T10" s="36">
        <v>11.55</v>
      </c>
      <c r="U10" s="36">
        <v>94917.33</v>
      </c>
      <c r="V10" s="36">
        <v>101898.48</v>
      </c>
      <c r="W10" s="37">
        <f>V10/U10*100</f>
        <v>107.3549793278003</v>
      </c>
      <c r="X10" s="36">
        <f>V10-Y10</f>
        <v>-44081.664259376135</v>
      </c>
      <c r="Y10" s="36">
        <f>Z10*1.18</f>
        <v>145980.14425937613</v>
      </c>
      <c r="Z10" s="36">
        <f>AA10+AG10+AR10+AZ10+BE10+BF10</f>
        <v>123711.98666048826</v>
      </c>
      <c r="AA10" s="29">
        <f>AE10+AF10</f>
        <v>17526.288269521407</v>
      </c>
      <c r="AB10" s="29">
        <v>0.34</v>
      </c>
      <c r="AC10" s="29">
        <f>3335677.04/79.4*AB10</f>
        <v>14283.755586901761</v>
      </c>
      <c r="AD10" s="29">
        <f>529475.59/3335677.04*AC10</f>
        <v>2267.275826196473</v>
      </c>
      <c r="AE10" s="29">
        <f>AC10+AD10</f>
        <v>16551.031413098233</v>
      </c>
      <c r="AF10" s="29">
        <f>227751.16/79.4*AB10</f>
        <v>975.2568564231739</v>
      </c>
      <c r="AG10" s="29">
        <f>AI10+AJ10+AK10+AL10+AM10+AO10+AP10+AQ10</f>
        <v>56006.83613359569</v>
      </c>
      <c r="AH10" s="29">
        <f>0.319+0.018</f>
        <v>0.337</v>
      </c>
      <c r="AI10" s="29">
        <f>4838591.15/63.3*AH10</f>
        <v>25759.956043443923</v>
      </c>
      <c r="AJ10" s="29">
        <f>965412.23/4838591.15*AI10</f>
        <v>5139.714399842022</v>
      </c>
      <c r="AK10" s="38">
        <v>10442.32</v>
      </c>
      <c r="AL10" s="39">
        <f>123624.91/74.3*(AH10+AN10)</f>
        <v>641.6430348784401</v>
      </c>
      <c r="AM10" s="29">
        <v>5455.71</v>
      </c>
      <c r="AN10" s="36">
        <f>11/206520.5*D10</f>
        <v>0.04863488128297191</v>
      </c>
      <c r="AO10" s="36">
        <f>1348323.71/11*AN10</f>
        <v>5961.414869715112</v>
      </c>
      <c r="AP10" s="29">
        <f>277648.69/1348323.71*AO10</f>
        <v>1227.5828251384244</v>
      </c>
      <c r="AQ10" s="29">
        <f>311781.26/206520.5*D10</f>
        <v>1378.4949605777635</v>
      </c>
      <c r="AR10" s="29">
        <f>AS10+AT10+AU10+AV10+AW10+AX10+AY10</f>
        <v>6687.746308412084</v>
      </c>
      <c r="AS10" s="29">
        <f>230*2.6*9</f>
        <v>5382</v>
      </c>
      <c r="AT10" s="39">
        <f>145379.72/206520.5*D10</f>
        <v>642.7750384683361</v>
      </c>
      <c r="AU10" s="29"/>
      <c r="AV10" s="29">
        <f>20083.92/4341*I10</f>
        <v>55.51878369039392</v>
      </c>
      <c r="AW10" s="29">
        <f>46783.46/1064*I10</f>
        <v>527.633007518797</v>
      </c>
      <c r="AX10" s="29"/>
      <c r="AY10" s="29">
        <f>18053.18/206520.5*D10</f>
        <v>79.81947873455663</v>
      </c>
      <c r="AZ10" s="40">
        <f>BB10+BC10+BD10</f>
        <v>25534.367254640583</v>
      </c>
      <c r="BA10" s="40">
        <f>37.6/206520.5*D10</f>
        <v>0.1662428669308858</v>
      </c>
      <c r="BB10" s="29">
        <f>4053113.48/37.6*BA10</f>
        <v>17920.244811473924</v>
      </c>
      <c r="BC10" s="29">
        <f>887989.5/4053113.48*BB10</f>
        <v>3926.1149011841444</v>
      </c>
      <c r="BD10" s="29">
        <f>834135.54/37.6*BA10</f>
        <v>3688.0075419825152</v>
      </c>
      <c r="BE10" s="29">
        <f>3513152.23/206520.5*D10</f>
        <v>15532.885603187095</v>
      </c>
      <c r="BF10" s="39">
        <f>548217.52/206520.5*D10</f>
        <v>2423.863091131389</v>
      </c>
      <c r="BG10" s="29">
        <v>23506.38</v>
      </c>
      <c r="BH10" s="29">
        <v>322</v>
      </c>
      <c r="BI10" s="29">
        <v>1.18</v>
      </c>
      <c r="BJ10" s="29">
        <v>-5540.97</v>
      </c>
      <c r="BK10" s="29">
        <v>963.6</v>
      </c>
      <c r="BL10" s="41"/>
      <c r="BM10" s="41"/>
      <c r="BN10" s="42"/>
      <c r="BO10" s="43"/>
      <c r="BP10" s="43"/>
      <c r="BQ10" s="43"/>
      <c r="BR10" s="43"/>
      <c r="BS10" s="44">
        <v>0</v>
      </c>
      <c r="BT10" s="44">
        <v>0</v>
      </c>
      <c r="BU10" s="45">
        <v>0</v>
      </c>
    </row>
    <row r="11" spans="1:73" ht="10.5" customHeight="1">
      <c r="A11" s="27">
        <v>47</v>
      </c>
      <c r="B11" s="27" t="s">
        <v>79</v>
      </c>
      <c r="C11" s="46">
        <v>13</v>
      </c>
      <c r="D11" s="44">
        <v>929.4</v>
      </c>
      <c r="E11" s="30">
        <v>1952</v>
      </c>
      <c r="F11" s="31">
        <v>2</v>
      </c>
      <c r="G11" s="31">
        <v>2</v>
      </c>
      <c r="H11" s="31"/>
      <c r="I11" s="31">
        <v>12</v>
      </c>
      <c r="J11" s="31"/>
      <c r="K11" s="32">
        <v>85</v>
      </c>
      <c r="L11" s="33">
        <f>163+424+121</f>
        <v>708</v>
      </c>
      <c r="M11" s="34">
        <v>0</v>
      </c>
      <c r="N11" s="34">
        <v>0</v>
      </c>
      <c r="O11" s="34">
        <v>3139</v>
      </c>
      <c r="P11" s="31"/>
      <c r="Q11" s="35" t="s">
        <v>81</v>
      </c>
      <c r="R11" s="35" t="s">
        <v>82</v>
      </c>
      <c r="S11" s="34">
        <v>881</v>
      </c>
      <c r="T11" s="36">
        <v>11.55</v>
      </c>
      <c r="U11" s="36">
        <v>96611.58</v>
      </c>
      <c r="V11" s="36">
        <v>81270.36</v>
      </c>
      <c r="W11" s="37">
        <f>V11/U11*100</f>
        <v>84.12072341638549</v>
      </c>
      <c r="X11" s="36">
        <f>V11-Y11</f>
        <v>-89976.26355878946</v>
      </c>
      <c r="Y11" s="36">
        <f>Z11*1.18</f>
        <v>171246.62355878946</v>
      </c>
      <c r="Z11" s="36">
        <f>AA11+AG11+AR11+AZ11+BE11+BF11</f>
        <v>145124.25725321143</v>
      </c>
      <c r="AA11" s="29">
        <f>AE11+AF11</f>
        <v>35568.055605793445</v>
      </c>
      <c r="AB11" s="29">
        <v>0.69</v>
      </c>
      <c r="AC11" s="29">
        <f>3335677.04/79.4*AB11</f>
        <v>28987.621632241808</v>
      </c>
      <c r="AD11" s="29">
        <f>529475.59/3335677.04*AC11</f>
        <v>4601.236235516371</v>
      </c>
      <c r="AE11" s="29">
        <f>AC11+AD11</f>
        <v>33588.85786775818</v>
      </c>
      <c r="AF11" s="29">
        <f>227751.16/79.4*AB11</f>
        <v>1979.1977380352644</v>
      </c>
      <c r="AG11" s="29">
        <f>AI11+AJ11+AK11+AL11+AM11+AO11+AP11+AQ11</f>
        <v>56098.07847725706</v>
      </c>
      <c r="AH11" s="29">
        <f>0.323+0.018</f>
        <v>0.341</v>
      </c>
      <c r="AI11" s="29">
        <f>4838591.15/63.3*AH11</f>
        <v>26065.71219826225</v>
      </c>
      <c r="AJ11" s="29">
        <f>965412.23/4838591.15*AI11</f>
        <v>5200.71991200632</v>
      </c>
      <c r="AK11" s="38">
        <v>15461.47</v>
      </c>
      <c r="AL11" s="39">
        <f>123624.91/74.3*(AH11+AN11)</f>
        <v>649.7430366217791</v>
      </c>
      <c r="AM11" s="39"/>
      <c r="AN11" s="36">
        <f>11/206520.5*D11</f>
        <v>0.04950307596582421</v>
      </c>
      <c r="AO11" s="36">
        <f>1348323.71/11*AN11</f>
        <v>6067.8337311501755</v>
      </c>
      <c r="AP11" s="29">
        <f>277648.69/1348323.71*AO11</f>
        <v>1249.496744807416</v>
      </c>
      <c r="AQ11" s="29">
        <f>311781.26/206520.5*D11</f>
        <v>1403.1028544091266</v>
      </c>
      <c r="AR11" s="29">
        <f>AS11+AT11+AU11+AV11+AW11+AX11+AY11</f>
        <v>9190.635312355053</v>
      </c>
      <c r="AS11" s="29">
        <f>322*2.6*9</f>
        <v>7534.8</v>
      </c>
      <c r="AT11" s="39">
        <f>145379.72/206520.5*D11</f>
        <v>654.2493930045686</v>
      </c>
      <c r="AU11" s="29"/>
      <c r="AV11" s="29">
        <f>20083.92/4341*I11</f>
        <v>55.51878369039392</v>
      </c>
      <c r="AW11" s="29">
        <f>46783.46/1064*I11</f>
        <v>527.633007518797</v>
      </c>
      <c r="AX11" s="29">
        <f>21076.61/58093.7*D11</f>
        <v>337.18976987177615</v>
      </c>
      <c r="AY11" s="29">
        <f>18053.18/206520.5*D11</f>
        <v>81.24435826951803</v>
      </c>
      <c r="AZ11" s="40">
        <f>BB11+BC11+BD11</f>
        <v>25990.188288755835</v>
      </c>
      <c r="BA11" s="40">
        <f>37.6/206520.5*D11</f>
        <v>0.1692105142104537</v>
      </c>
      <c r="BB11" s="29">
        <f>4053113.48/37.6*BA11</f>
        <v>18240.144045322377</v>
      </c>
      <c r="BC11" s="29">
        <f>887989.5/4053113.48*BB11</f>
        <v>3996.201061395842</v>
      </c>
      <c r="BD11" s="29">
        <f>834135.54/37.6*BA11</f>
        <v>3753.8431820376186</v>
      </c>
      <c r="BE11" s="29">
        <f>3513152.23/206520.5*D11</f>
        <v>15810.167429199522</v>
      </c>
      <c r="BF11" s="39">
        <f>548217.52/206520.5*D11</f>
        <v>2467.1321398505233</v>
      </c>
      <c r="BG11" s="29">
        <v>24676.02</v>
      </c>
      <c r="BH11" s="29">
        <v>345.3</v>
      </c>
      <c r="BI11" s="29">
        <v>1.18</v>
      </c>
      <c r="BJ11" s="29">
        <v>-8446.97</v>
      </c>
      <c r="BK11" s="29">
        <v>684.11</v>
      </c>
      <c r="BL11" s="41"/>
      <c r="BM11" s="41"/>
      <c r="BN11" s="42"/>
      <c r="BO11" s="43"/>
      <c r="BP11" s="43"/>
      <c r="BQ11" s="43"/>
      <c r="BR11" s="43"/>
      <c r="BS11" s="44">
        <v>0</v>
      </c>
      <c r="BT11" s="44">
        <v>0</v>
      </c>
      <c r="BU11" s="45">
        <v>0</v>
      </c>
    </row>
    <row r="12" spans="1:73" ht="10.5" customHeight="1">
      <c r="A12" s="27">
        <v>48</v>
      </c>
      <c r="B12" s="27" t="s">
        <v>79</v>
      </c>
      <c r="C12" s="46">
        <v>15</v>
      </c>
      <c r="D12" s="44">
        <v>913.5</v>
      </c>
      <c r="E12" s="30">
        <v>1952</v>
      </c>
      <c r="F12" s="31">
        <v>2</v>
      </c>
      <c r="G12" s="31">
        <v>2</v>
      </c>
      <c r="H12" s="31"/>
      <c r="I12" s="31">
        <v>12</v>
      </c>
      <c r="J12" s="31"/>
      <c r="K12" s="32">
        <v>81.7</v>
      </c>
      <c r="L12" s="33">
        <f>295+209+120</f>
        <v>624</v>
      </c>
      <c r="M12" s="34">
        <v>0</v>
      </c>
      <c r="N12" s="34">
        <v>18</v>
      </c>
      <c r="O12" s="34">
        <v>2072</v>
      </c>
      <c r="P12" s="31"/>
      <c r="Q12" s="35" t="s">
        <v>81</v>
      </c>
      <c r="R12" s="35" t="s">
        <v>82</v>
      </c>
      <c r="S12" s="34">
        <v>879</v>
      </c>
      <c r="T12" s="36">
        <v>11.55</v>
      </c>
      <c r="U12" s="36">
        <v>94958.82</v>
      </c>
      <c r="V12" s="36">
        <v>96094.19</v>
      </c>
      <c r="W12" s="37">
        <f>V12/U12*100</f>
        <v>101.19564459625761</v>
      </c>
      <c r="X12" s="36">
        <f>V12-Y12</f>
        <v>-66631.8449927427</v>
      </c>
      <c r="Y12" s="36">
        <f>Z12*1.18</f>
        <v>162726.0349927427</v>
      </c>
      <c r="Z12" s="36">
        <f>AA12+AG12+AR12+AZ12+BE12+BF12</f>
        <v>137903.41948537517</v>
      </c>
      <c r="AA12" s="29">
        <f>AE12+AF12</f>
        <v>27835.869604534004</v>
      </c>
      <c r="AB12" s="29">
        <v>0.54</v>
      </c>
      <c r="AC12" s="29">
        <f>3335677.04/79.4*AB12</f>
        <v>22685.964755667505</v>
      </c>
      <c r="AD12" s="29">
        <f>529475.59/3335677.04*AC12</f>
        <v>3600.9674886649873</v>
      </c>
      <c r="AE12" s="29">
        <f>AC12+AD12</f>
        <v>26286.932244332493</v>
      </c>
      <c r="AF12" s="29">
        <f>227751.16/79.4*AB12</f>
        <v>1548.9373602015114</v>
      </c>
      <c r="AG12" s="29">
        <f>AI12+AJ12+AK12+AL12+AM12+AO12+AP12+AQ12</f>
        <v>61226.5190064659</v>
      </c>
      <c r="AH12" s="29">
        <f>0.32+0.018</f>
        <v>0.338</v>
      </c>
      <c r="AI12" s="29">
        <f>4838591.15/63.3*AH12</f>
        <v>25836.395082148505</v>
      </c>
      <c r="AJ12" s="29">
        <f>965412.23/4838591.15*AI12</f>
        <v>5154.965777883097</v>
      </c>
      <c r="AK12" s="38">
        <v>21020.57</v>
      </c>
      <c r="AL12" s="39">
        <f>123624.91/74.3*(AH12+AN12)</f>
        <v>643.3423456058113</v>
      </c>
      <c r="AM12" s="39"/>
      <c r="AN12" s="36">
        <f>11/206520.5*D12</f>
        <v>0.04865618667396215</v>
      </c>
      <c r="AO12" s="36">
        <f>1348323.71/11*AN12</f>
        <v>5964.0263755172</v>
      </c>
      <c r="AP12" s="29">
        <f>277648.69/1348323.71*AO12</f>
        <v>1228.120590038277</v>
      </c>
      <c r="AQ12" s="29">
        <f>311781.26/206520.5*D12</f>
        <v>1379.0988352730117</v>
      </c>
      <c r="AR12" s="29">
        <f>AS12+AT12+AU12+AV12+AW12+AX12+AY12</f>
        <v>5330.862854033463</v>
      </c>
      <c r="AS12" s="29">
        <f>172*2.6*9</f>
        <v>4024.7999999999997</v>
      </c>
      <c r="AT12" s="39">
        <f>145379.72/206520.5*D12</f>
        <v>643.056617720759</v>
      </c>
      <c r="AU12" s="29"/>
      <c r="AV12" s="29">
        <f>20083.92/4341*I12</f>
        <v>55.51878369039392</v>
      </c>
      <c r="AW12" s="29">
        <f>46783.46/1064*I12</f>
        <v>527.633007518797</v>
      </c>
      <c r="AX12" s="29"/>
      <c r="AY12" s="29">
        <f>18053.18/206520.5*D12</f>
        <v>79.85444510351273</v>
      </c>
      <c r="AZ12" s="40">
        <f>BB12+BC12+BD12</f>
        <v>25545.553046888803</v>
      </c>
      <c r="BA12" s="40">
        <f>37.6/206520.5*D12</f>
        <v>0.16631569263099788</v>
      </c>
      <c r="BB12" s="29">
        <f>4053113.48/37.6*BA12</f>
        <v>17928.09509942112</v>
      </c>
      <c r="BC12" s="29">
        <f>887989.5/4053113.48*BB12</f>
        <v>3927.8348069562094</v>
      </c>
      <c r="BD12" s="29">
        <f>834135.54/37.6*BA12</f>
        <v>3689.6231405114745</v>
      </c>
      <c r="BE12" s="29">
        <f>3513152.23/206520.5*D12</f>
        <v>15539.69006517513</v>
      </c>
      <c r="BF12" s="39">
        <f>548217.52/206520.5*D12</f>
        <v>2424.9249082778706</v>
      </c>
      <c r="BG12" s="29">
        <v>23722.34</v>
      </c>
      <c r="BH12" s="29">
        <v>177.1</v>
      </c>
      <c r="BI12" s="29">
        <v>1.18</v>
      </c>
      <c r="BJ12" s="29">
        <v>478.82</v>
      </c>
      <c r="BK12" s="29">
        <v>784.68</v>
      </c>
      <c r="BL12" s="40"/>
      <c r="BM12" s="40"/>
      <c r="BN12" s="47"/>
      <c r="BO12" s="48"/>
      <c r="BP12" s="48"/>
      <c r="BQ12" s="48"/>
      <c r="BR12" s="48"/>
      <c r="BS12" s="44">
        <v>0</v>
      </c>
      <c r="BT12" s="44">
        <v>0</v>
      </c>
      <c r="BU12" s="45">
        <v>0</v>
      </c>
    </row>
    <row r="13" spans="1:73" ht="10.5" customHeight="1">
      <c r="A13" s="27">
        <v>49</v>
      </c>
      <c r="B13" s="27" t="s">
        <v>79</v>
      </c>
      <c r="C13" s="46" t="s">
        <v>83</v>
      </c>
      <c r="D13" s="44">
        <v>913.5</v>
      </c>
      <c r="E13" s="30">
        <v>1952</v>
      </c>
      <c r="F13" s="31">
        <v>2</v>
      </c>
      <c r="G13" s="31">
        <v>2</v>
      </c>
      <c r="H13" s="31"/>
      <c r="I13" s="31">
        <v>12</v>
      </c>
      <c r="J13" s="31"/>
      <c r="K13" s="32">
        <v>79.1</v>
      </c>
      <c r="L13" s="33">
        <f>84+87+143</f>
        <v>314</v>
      </c>
      <c r="M13" s="34">
        <v>0</v>
      </c>
      <c r="N13" s="34">
        <v>0</v>
      </c>
      <c r="O13" s="34">
        <v>775</v>
      </c>
      <c r="P13" s="31"/>
      <c r="Q13" s="35" t="s">
        <v>81</v>
      </c>
      <c r="R13" s="35" t="s">
        <v>82</v>
      </c>
      <c r="S13" s="34">
        <v>877</v>
      </c>
      <c r="T13" s="36">
        <v>11.55</v>
      </c>
      <c r="U13" s="36">
        <v>94958.82</v>
      </c>
      <c r="V13" s="36">
        <v>103369.36</v>
      </c>
      <c r="W13" s="37">
        <f>V13/U13*100</f>
        <v>108.85703929345371</v>
      </c>
      <c r="X13" s="36">
        <f>V13-Y13</f>
        <v>-26018.499134801736</v>
      </c>
      <c r="Y13" s="36">
        <f>Z13*1.18</f>
        <v>129387.85913480174</v>
      </c>
      <c r="Z13" s="36">
        <f>AA13+AG13+AR13+AZ13+BE13+BF13</f>
        <v>109650.72808034046</v>
      </c>
      <c r="AA13" s="29">
        <f>AE13+AF13</f>
        <v>14433.413869017633</v>
      </c>
      <c r="AB13" s="29">
        <v>0.28</v>
      </c>
      <c r="AC13" s="29">
        <f>3335677.04/79.4*AB13</f>
        <v>11763.09283627204</v>
      </c>
      <c r="AD13" s="29">
        <f>529475.59/3335677.04*AC13</f>
        <v>1867.1683274559193</v>
      </c>
      <c r="AE13" s="29">
        <f>AC13+AD13</f>
        <v>13630.26116372796</v>
      </c>
      <c r="AF13" s="29">
        <f>227751.16/79.4*AB13</f>
        <v>803.1527052896726</v>
      </c>
      <c r="AG13" s="29">
        <f>AI13+AJ13+AK13+AL13+AM13+AO13+AP13+AQ13</f>
        <v>46376.07333694755</v>
      </c>
      <c r="AH13" s="29">
        <f>0.312+0.02</f>
        <v>0.332</v>
      </c>
      <c r="AI13" s="29">
        <f>4838591.15/63.3*AH13</f>
        <v>25377.760849921015</v>
      </c>
      <c r="AJ13" s="29">
        <f>965412.23/4838591.15*AI13</f>
        <v>5063.457509636652</v>
      </c>
      <c r="AK13" s="38">
        <v>6730.25</v>
      </c>
      <c r="AL13" s="39">
        <f>123624.91/74.3*(AH13+AN13)</f>
        <v>633.3591765613968</v>
      </c>
      <c r="AM13" s="39"/>
      <c r="AN13" s="36">
        <f>11/206520.5*D13</f>
        <v>0.04865618667396215</v>
      </c>
      <c r="AO13" s="36">
        <f>1348323.71/11*AN13</f>
        <v>5964.0263755172</v>
      </c>
      <c r="AP13" s="29">
        <f>277648.69/1348323.71*AO13</f>
        <v>1228.120590038277</v>
      </c>
      <c r="AQ13" s="29">
        <f>311781.26/206520.5*D13</f>
        <v>1379.0988352730117</v>
      </c>
      <c r="AR13" s="29">
        <f>AS13+AT13+AU13+AV13+AW13+AX13+AY13</f>
        <v>5331.072854033463</v>
      </c>
      <c r="AS13" s="29">
        <f>172*2.6*9</f>
        <v>4024.7999999999997</v>
      </c>
      <c r="AT13" s="39">
        <f>145379.72/206520.5*D13</f>
        <v>643.056617720759</v>
      </c>
      <c r="AU13" s="29"/>
      <c r="AV13" s="29">
        <f>20083.92/4341*I13</f>
        <v>55.51878369039392</v>
      </c>
      <c r="AW13" s="29">
        <f>46783.46/1064*I13+0.21</f>
        <v>527.843007518797</v>
      </c>
      <c r="AX13" s="29"/>
      <c r="AY13" s="29">
        <f>18053.18/206520.5*D13</f>
        <v>79.85444510351273</v>
      </c>
      <c r="AZ13" s="40">
        <f>BB13+BC13+BD13</f>
        <v>25545.553046888803</v>
      </c>
      <c r="BA13" s="40">
        <f>37.6/206520.5*D13</f>
        <v>0.16631569263099788</v>
      </c>
      <c r="BB13" s="29">
        <f>4053113.48/37.6*BA13</f>
        <v>17928.09509942112</v>
      </c>
      <c r="BC13" s="29">
        <f>887989.5/4053113.48*BB13</f>
        <v>3927.8348069562094</v>
      </c>
      <c r="BD13" s="29">
        <f>834135.54/37.6*BA13</f>
        <v>3689.6231405114745</v>
      </c>
      <c r="BE13" s="29">
        <f>3513152.23/206520.5*D13</f>
        <v>15539.69006517513</v>
      </c>
      <c r="BF13" s="39">
        <f>548217.52/206520.5*D13</f>
        <v>2424.9249082778706</v>
      </c>
      <c r="BG13" s="29">
        <v>23775.47</v>
      </c>
      <c r="BH13" s="29">
        <v>254.6</v>
      </c>
      <c r="BI13" s="29">
        <v>1.18</v>
      </c>
      <c r="BJ13" s="29">
        <v>603.22</v>
      </c>
      <c r="BK13" s="29">
        <v>1128.48</v>
      </c>
      <c r="BL13" s="41"/>
      <c r="BM13" s="41"/>
      <c r="BN13" s="42"/>
      <c r="BO13" s="43"/>
      <c r="BP13" s="43"/>
      <c r="BQ13" s="43"/>
      <c r="BR13" s="43"/>
      <c r="BS13" s="44">
        <v>0</v>
      </c>
      <c r="BT13" s="44">
        <v>0</v>
      </c>
      <c r="BU13" s="45">
        <v>0</v>
      </c>
    </row>
    <row r="14" spans="1:73" ht="10.5" customHeight="1">
      <c r="A14" s="27">
        <v>50</v>
      </c>
      <c r="B14" s="27" t="s">
        <v>79</v>
      </c>
      <c r="C14" s="46">
        <v>19</v>
      </c>
      <c r="D14" s="44">
        <v>5550.5</v>
      </c>
      <c r="E14" s="30">
        <v>1990</v>
      </c>
      <c r="F14" s="31">
        <v>2</v>
      </c>
      <c r="G14" s="31">
        <v>9</v>
      </c>
      <c r="H14" s="31">
        <v>2</v>
      </c>
      <c r="I14" s="31">
        <v>108</v>
      </c>
      <c r="J14" s="31"/>
      <c r="K14" s="32">
        <v>525.5</v>
      </c>
      <c r="L14" s="33">
        <f>511.2+458.6+969.8</f>
        <v>1939.6</v>
      </c>
      <c r="M14" s="34">
        <v>0</v>
      </c>
      <c r="N14" s="34">
        <v>0</v>
      </c>
      <c r="O14" s="34">
        <v>2726</v>
      </c>
      <c r="P14" s="31"/>
      <c r="Q14" s="35" t="s">
        <v>84</v>
      </c>
      <c r="R14" s="35" t="s">
        <v>85</v>
      </c>
      <c r="S14" s="34">
        <v>1007</v>
      </c>
      <c r="T14" s="36">
        <v>23.21</v>
      </c>
      <c r="U14" s="36">
        <v>1159449.1</v>
      </c>
      <c r="V14" s="36">
        <v>1082047.02</v>
      </c>
      <c r="W14" s="37">
        <f>V14/U14*100</f>
        <v>93.32423648437866</v>
      </c>
      <c r="X14" s="36">
        <f>V14-Y14</f>
        <v>75649.59732706111</v>
      </c>
      <c r="Y14" s="36">
        <f>Z14*1.18</f>
        <v>1006397.4226729389</v>
      </c>
      <c r="Z14" s="36">
        <f>AA14+AG14+AR14+AZ14+BE14+BF14</f>
        <v>852879.171756728</v>
      </c>
      <c r="AA14" s="29">
        <f>AE14+AF14</f>
        <v>73198.0274785894</v>
      </c>
      <c r="AB14" s="29">
        <v>1.42</v>
      </c>
      <c r="AC14" s="29">
        <f>3335677.04/79.4*AB14</f>
        <v>59655.68509823676</v>
      </c>
      <c r="AD14" s="29">
        <f>529475.59/3335677.04*AC14</f>
        <v>9469.210803526446</v>
      </c>
      <c r="AE14" s="29">
        <f>AC14+AD14</f>
        <v>69124.8959017632</v>
      </c>
      <c r="AF14" s="29">
        <f>227751.16/79.4*AB14</f>
        <v>4073.131576826196</v>
      </c>
      <c r="AG14" s="29">
        <f>AI14+AJ14+AK14+AL14+AM14+AO14+AP14+AQ14</f>
        <v>214478.44352146224</v>
      </c>
      <c r="AH14" s="29">
        <f>1.66+0.02</f>
        <v>1.6800000000000002</v>
      </c>
      <c r="AI14" s="29">
        <f>4838591.15/63.3*AH14</f>
        <v>128417.58502369671</v>
      </c>
      <c r="AJ14" s="29">
        <f>965412.23/4838591.15*AI14</f>
        <v>25622.315109004743</v>
      </c>
      <c r="AK14" s="38">
        <v>5071.77</v>
      </c>
      <c r="AL14" s="39">
        <f>123624.91/74.3*(AH14+AN14)</f>
        <v>3287.189571028407</v>
      </c>
      <c r="AM14" s="39"/>
      <c r="AN14" s="36">
        <f>11/206520.5*D14</f>
        <v>0.2956389317283272</v>
      </c>
      <c r="AO14" s="36">
        <f>1348323.71/11*AN14</f>
        <v>36237.9073862159</v>
      </c>
      <c r="AP14" s="29">
        <f>277648.69/1348323.71*AO14</f>
        <v>7462.160191579045</v>
      </c>
      <c r="AQ14" s="29">
        <f>311781.26/206520.5*D14</f>
        <v>8379.51623993744</v>
      </c>
      <c r="AR14" s="29">
        <f>AS14+AT14+AU14+AV14+AW14+AX14+AY14</f>
        <v>300831.3952318737</v>
      </c>
      <c r="AS14" s="29">
        <f>5407*2.6*9</f>
        <v>126523.8</v>
      </c>
      <c r="AT14" s="39">
        <f>145379.72/206520.5*D14</f>
        <v>3907.2641014330297</v>
      </c>
      <c r="AU14" s="29">
        <f>84707.73*2</f>
        <v>169415.46</v>
      </c>
      <c r="AV14" s="29">
        <f>20083.92/4341*I14</f>
        <v>499.6690532135452</v>
      </c>
      <c r="AW14" s="29"/>
      <c r="AX14" s="29"/>
      <c r="AY14" s="29">
        <f>18053.18/206520.5*D14</f>
        <v>485.2020772272002</v>
      </c>
      <c r="AZ14" s="40">
        <f>BB14+BC14+BD14</f>
        <v>155216.8496844623</v>
      </c>
      <c r="BA14" s="40">
        <f>37.6/206520.5*D14</f>
        <v>1.0105476211804638</v>
      </c>
      <c r="BB14" s="29">
        <f>4053113.48/37.6*BA14</f>
        <v>108932.55812735297</v>
      </c>
      <c r="BC14" s="29">
        <f>887989.5/4053113.48*BB14</f>
        <v>23865.842469633764</v>
      </c>
      <c r="BD14" s="29">
        <f>834135.54/37.6*BA14</f>
        <v>22418.449087475576</v>
      </c>
      <c r="BE14" s="29">
        <f>3513152.23/206520.5*D14</f>
        <v>94420.41566147187</v>
      </c>
      <c r="BF14" s="39">
        <f>548217.52/206520.5*D14</f>
        <v>14734.040178868441</v>
      </c>
      <c r="BG14" s="29">
        <v>144854.01</v>
      </c>
      <c r="BH14" s="29">
        <v>3432.9</v>
      </c>
      <c r="BI14" s="29">
        <v>1.18</v>
      </c>
      <c r="BJ14" s="29">
        <v>36321.8</v>
      </c>
      <c r="BK14" s="29">
        <v>33719.36</v>
      </c>
      <c r="BL14" s="40"/>
      <c r="BM14" s="40"/>
      <c r="BN14" s="47"/>
      <c r="BO14" s="48"/>
      <c r="BP14" s="48"/>
      <c r="BQ14" s="48"/>
      <c r="BR14" s="48"/>
      <c r="BS14" s="44">
        <v>1.06</v>
      </c>
      <c r="BT14" s="44">
        <v>18238.38</v>
      </c>
      <c r="BU14" s="45">
        <v>17153.39</v>
      </c>
    </row>
    <row r="15" spans="1:73" ht="10.5" customHeight="1">
      <c r="A15" s="27">
        <v>51</v>
      </c>
      <c r="B15" s="27" t="s">
        <v>79</v>
      </c>
      <c r="C15" s="46">
        <v>61</v>
      </c>
      <c r="D15" s="44">
        <v>3906.9</v>
      </c>
      <c r="E15" s="30">
        <v>1982</v>
      </c>
      <c r="F15" s="31">
        <v>6</v>
      </c>
      <c r="G15" s="31">
        <v>5</v>
      </c>
      <c r="H15" s="31"/>
      <c r="I15" s="31">
        <v>90</v>
      </c>
      <c r="J15" s="31"/>
      <c r="K15" s="32">
        <v>521</v>
      </c>
      <c r="L15" s="33">
        <f>1542.2+96.6</f>
        <v>1638.8</v>
      </c>
      <c r="M15" s="34">
        <v>0</v>
      </c>
      <c r="N15" s="34">
        <v>0</v>
      </c>
      <c r="O15" s="34">
        <v>7378</v>
      </c>
      <c r="P15" s="31"/>
      <c r="Q15" s="35" t="s">
        <v>86</v>
      </c>
      <c r="R15" s="35" t="s">
        <v>85</v>
      </c>
      <c r="S15" s="34">
        <v>1094</v>
      </c>
      <c r="T15" s="36">
        <v>16.95</v>
      </c>
      <c r="U15" s="36">
        <v>595999.26</v>
      </c>
      <c r="V15" s="36">
        <v>543107.58</v>
      </c>
      <c r="W15" s="37">
        <f>V15/U15*100</f>
        <v>91.12554602836252</v>
      </c>
      <c r="X15" s="36">
        <f>V15-Y15</f>
        <v>-28660.745268776198</v>
      </c>
      <c r="Y15" s="36">
        <f>Z15*1.18</f>
        <v>571768.3252687762</v>
      </c>
      <c r="Z15" s="36">
        <f>AA15+AG15+AR15+AZ15+BE15+BF15</f>
        <v>484549.4281938781</v>
      </c>
      <c r="AA15" s="29">
        <f>AE15+AF15</f>
        <v>104642.25055037781</v>
      </c>
      <c r="AB15" s="29">
        <v>2.03</v>
      </c>
      <c r="AC15" s="29">
        <f>3335677.04/79.4*AB15</f>
        <v>85282.42306297227</v>
      </c>
      <c r="AD15" s="29">
        <f>529475.59/3335677.04*AC15</f>
        <v>13536.970374055412</v>
      </c>
      <c r="AE15" s="29">
        <f>AC15+AD15</f>
        <v>98819.39343702768</v>
      </c>
      <c r="AF15" s="29">
        <f>227751.16/79.4*AB15</f>
        <v>5822.8571133501255</v>
      </c>
      <c r="AG15" s="29">
        <f>AI15+AJ15+AK15+AL15+AM15+AO15+AP15+AQ15</f>
        <v>159331.06233230123</v>
      </c>
      <c r="AH15" s="29">
        <f>0.922+0.018</f>
        <v>0.9400000000000001</v>
      </c>
      <c r="AI15" s="29">
        <f>4838591.15/63.3*AH15</f>
        <v>71852.69638230649</v>
      </c>
      <c r="AJ15" s="29">
        <f>965412.23/4838591.15*AI15</f>
        <v>14336.295358609796</v>
      </c>
      <c r="AK15" s="38">
        <v>28191.12</v>
      </c>
      <c r="AL15" s="39">
        <f>123624.91/74.3*(AH15+AN15)</f>
        <v>1910.2712106987333</v>
      </c>
      <c r="AM15" s="29">
        <v>6382.77</v>
      </c>
      <c r="AN15" s="36">
        <f>11/206520.5*D15</f>
        <v>0.20809508014942826</v>
      </c>
      <c r="AO15" s="36">
        <f>1348323.71/11*AN15</f>
        <v>25507.230045438588</v>
      </c>
      <c r="AP15" s="29">
        <f>277648.69/1348323.71*AO15</f>
        <v>5252.484218084887</v>
      </c>
      <c r="AQ15" s="29">
        <f>311781.26/206520.5*D15</f>
        <v>5898.195117162703</v>
      </c>
      <c r="AR15" s="29">
        <f>AS15+AT15+AU15+AV15+AW15+AX15+AY15</f>
        <v>34489.771098091915</v>
      </c>
      <c r="AS15" s="29">
        <f>1324*2.6*9</f>
        <v>30981.600000000002</v>
      </c>
      <c r="AT15" s="39">
        <f>145379.72/206520.5*D15</f>
        <v>2750.254953227404</v>
      </c>
      <c r="AU15" s="29"/>
      <c r="AV15" s="29">
        <f>20083.92/4341*I15</f>
        <v>416.39087767795434</v>
      </c>
      <c r="AW15" s="29"/>
      <c r="AX15" s="29"/>
      <c r="AY15" s="29">
        <f>18053.18/206520.5*D15</f>
        <v>341.5252671865505</v>
      </c>
      <c r="AZ15" s="40">
        <f>BB15+BC15+BD15</f>
        <v>109254.42933649686</v>
      </c>
      <c r="BA15" s="40">
        <f>37.6/206520.5*D15</f>
        <v>0.7113068194198638</v>
      </c>
      <c r="BB15" s="29">
        <f>4053113.48/37.6*BA15</f>
        <v>76675.72495230255</v>
      </c>
      <c r="BC15" s="29">
        <f>887989.5/4053113.48*BB15</f>
        <v>16798.7496522137</v>
      </c>
      <c r="BD15" s="29">
        <f>834135.54/37.6*BA15</f>
        <v>15779.954731980602</v>
      </c>
      <c r="BE15" s="29">
        <f>3513152.23/206520.5*D15</f>
        <v>66460.8813526357</v>
      </c>
      <c r="BF15" s="39">
        <f>548217.52/206520.5*D15</f>
        <v>10371.033523974618</v>
      </c>
      <c r="BG15" s="29">
        <v>101500.4</v>
      </c>
      <c r="BH15" s="29">
        <v>2623.9</v>
      </c>
      <c r="BI15" s="29">
        <v>1.18</v>
      </c>
      <c r="BJ15" s="29">
        <v>27218.24</v>
      </c>
      <c r="BK15" s="29">
        <v>25524.65</v>
      </c>
      <c r="BL15" s="41"/>
      <c r="BM15" s="41"/>
      <c r="BN15" s="42"/>
      <c r="BO15" s="43"/>
      <c r="BP15" s="43"/>
      <c r="BQ15" s="43"/>
      <c r="BR15" s="43"/>
      <c r="BS15" s="44">
        <v>0.95</v>
      </c>
      <c r="BT15" s="44">
        <v>10209.44</v>
      </c>
      <c r="BU15" s="45">
        <v>8523.31</v>
      </c>
    </row>
    <row r="16" spans="1:73" ht="10.5" customHeight="1">
      <c r="A16" s="27">
        <v>52</v>
      </c>
      <c r="B16" s="27" t="s">
        <v>79</v>
      </c>
      <c r="C16" s="46" t="s">
        <v>87</v>
      </c>
      <c r="D16" s="44">
        <v>3971.3</v>
      </c>
      <c r="E16" s="30">
        <v>1987</v>
      </c>
      <c r="F16" s="31">
        <v>6</v>
      </c>
      <c r="G16" s="31">
        <v>5</v>
      </c>
      <c r="H16" s="31"/>
      <c r="I16" s="31">
        <v>90</v>
      </c>
      <c r="J16" s="31"/>
      <c r="K16" s="32">
        <v>517</v>
      </c>
      <c r="L16" s="33">
        <f>1011.4+88.2</f>
        <v>1099.6</v>
      </c>
      <c r="M16" s="34">
        <v>243.3</v>
      </c>
      <c r="N16" s="34">
        <v>1750</v>
      </c>
      <c r="O16" s="34">
        <v>2021</v>
      </c>
      <c r="P16" s="31"/>
      <c r="Q16" s="35" t="s">
        <v>86</v>
      </c>
      <c r="R16" s="35" t="s">
        <v>85</v>
      </c>
      <c r="S16" s="34">
        <v>1095</v>
      </c>
      <c r="T16" s="36">
        <v>16.95</v>
      </c>
      <c r="U16" s="36">
        <v>605802.8</v>
      </c>
      <c r="V16" s="36">
        <v>574864.38</v>
      </c>
      <c r="W16" s="37">
        <f>V16/U16*100</f>
        <v>94.89298827935426</v>
      </c>
      <c r="X16" s="36">
        <f>V16-Y16</f>
        <v>32163.815581938485</v>
      </c>
      <c r="Y16" s="36">
        <f>Z16*1.18</f>
        <v>542700.5644180615</v>
      </c>
      <c r="Z16" s="36">
        <f>AA16+AG16+AR16+AZ16+BE16+BF16</f>
        <v>459915.7325576793</v>
      </c>
      <c r="AA16" s="29">
        <f>AE16+AF16</f>
        <v>105157.72961712845</v>
      </c>
      <c r="AB16" s="29">
        <v>2.04</v>
      </c>
      <c r="AC16" s="29">
        <f>3335677.04/79.4*AB16</f>
        <v>85702.53352141057</v>
      </c>
      <c r="AD16" s="29">
        <f>529475.59/3335677.04*AC16</f>
        <v>13603.65495717884</v>
      </c>
      <c r="AE16" s="29">
        <f>AC16+AD16</f>
        <v>99306.1884785894</v>
      </c>
      <c r="AF16" s="29">
        <f>227751.16/79.4*AB16</f>
        <v>5851.541138539043</v>
      </c>
      <c r="AG16" s="29">
        <f>AI16+AJ16+AK16+AL16+AM16+AO16+AP16+AQ16</f>
        <v>131063.54029168792</v>
      </c>
      <c r="AH16" s="29">
        <f>0.93+0.018</f>
        <v>0.9480000000000001</v>
      </c>
      <c r="AI16" s="29">
        <f>4838591.15/63.3*AH16</f>
        <v>72464.20869194315</v>
      </c>
      <c r="AJ16" s="29">
        <f>965412.23/4838591.15*AI16</f>
        <v>14458.306382938392</v>
      </c>
      <c r="AK16" s="38">
        <v>4949.57</v>
      </c>
      <c r="AL16" s="39">
        <f>123624.91/74.3*(AH16+AN16)</f>
        <v>1929.2894271729328</v>
      </c>
      <c r="AM16" s="39"/>
      <c r="AN16" s="36">
        <f>11/206520.5*D16</f>
        <v>0.21152524809885703</v>
      </c>
      <c r="AO16" s="36">
        <f>1348323.71/11*AN16</f>
        <v>25927.68247957467</v>
      </c>
      <c r="AP16" s="29">
        <f>277648.69/1348323.71*AO16</f>
        <v>5339.06436696115</v>
      </c>
      <c r="AQ16" s="29">
        <f>311781.26/206520.5*D16</f>
        <v>5995.418943097659</v>
      </c>
      <c r="AR16" s="29">
        <f>AS16+AT16+AU16+AV16+AW16+AX16+AY16</f>
        <v>34540.73494313393</v>
      </c>
      <c r="AS16" s="29">
        <f>1324*2.6*9</f>
        <v>30981.600000000002</v>
      </c>
      <c r="AT16" s="39">
        <f>145379.72/206520.5*D16</f>
        <v>2795.589212867488</v>
      </c>
      <c r="AU16" s="29"/>
      <c r="AV16" s="29">
        <f>20083.92/4341*I16</f>
        <v>416.39087767795434</v>
      </c>
      <c r="AW16" s="29"/>
      <c r="AX16" s="29"/>
      <c r="AY16" s="29">
        <f>18053.18/206520.5*D16</f>
        <v>347.15485258848395</v>
      </c>
      <c r="AZ16" s="40">
        <f>BB16+BC16+BD16</f>
        <v>111055.34188846144</v>
      </c>
      <c r="BA16" s="40">
        <f>37.6/206520.5*D16</f>
        <v>0.7230317571379112</v>
      </c>
      <c r="BB16" s="29">
        <f>4053113.48/37.6*BA16</f>
        <v>77939.62131180198</v>
      </c>
      <c r="BC16" s="29">
        <f>887989.5/4053113.48*BB16</f>
        <v>17075.65448151636</v>
      </c>
      <c r="BD16" s="29">
        <f>834135.54/37.6*BA16</f>
        <v>16040.066095143098</v>
      </c>
      <c r="BE16" s="29">
        <f>3513152.23/206520.5*D16</f>
        <v>67556.39973270935</v>
      </c>
      <c r="BF16" s="39">
        <f>548217.52/206520.5*D16</f>
        <v>10541.986084558192</v>
      </c>
      <c r="BG16" s="29">
        <v>103982.71</v>
      </c>
      <c r="BH16" s="29">
        <v>2438.1</v>
      </c>
      <c r="BI16" s="29">
        <v>1.18</v>
      </c>
      <c r="BJ16" s="29">
        <v>25686.1</v>
      </c>
      <c r="BK16" s="29">
        <v>25491.86</v>
      </c>
      <c r="BL16" s="41"/>
      <c r="BM16" s="41"/>
      <c r="BN16" s="42"/>
      <c r="BO16" s="43"/>
      <c r="BP16" s="43"/>
      <c r="BQ16" s="43"/>
      <c r="BR16" s="43"/>
      <c r="BS16" s="44">
        <v>0.95</v>
      </c>
      <c r="BT16" s="44">
        <v>11526.11</v>
      </c>
      <c r="BU16" s="45">
        <v>9998.77</v>
      </c>
    </row>
    <row r="17" spans="1:73" ht="10.5" customHeight="1">
      <c r="A17" s="27">
        <v>53</v>
      </c>
      <c r="B17" s="27" t="s">
        <v>79</v>
      </c>
      <c r="C17" s="46" t="s">
        <v>88</v>
      </c>
      <c r="D17" s="29">
        <v>4360.4</v>
      </c>
      <c r="E17" s="30">
        <v>1995</v>
      </c>
      <c r="F17" s="31">
        <v>4</v>
      </c>
      <c r="G17" s="31">
        <v>5</v>
      </c>
      <c r="H17" s="31"/>
      <c r="I17" s="31">
        <v>80</v>
      </c>
      <c r="J17" s="31"/>
      <c r="K17" s="32">
        <v>496.3</v>
      </c>
      <c r="L17" s="33">
        <f>1325.1+78.4</f>
        <v>1403.5</v>
      </c>
      <c r="M17" s="34">
        <v>837.6</v>
      </c>
      <c r="N17" s="34">
        <v>820</v>
      </c>
      <c r="O17" s="34">
        <v>5924</v>
      </c>
      <c r="P17" s="31"/>
      <c r="Q17" s="35" t="s">
        <v>86</v>
      </c>
      <c r="R17" s="35" t="s">
        <v>85</v>
      </c>
      <c r="S17" s="34">
        <v>1136.5</v>
      </c>
      <c r="T17" s="36">
        <v>16.95</v>
      </c>
      <c r="U17" s="36">
        <v>665181.27</v>
      </c>
      <c r="V17" s="36">
        <v>634874.65</v>
      </c>
      <c r="W17" s="37">
        <f>V17/U17*100</f>
        <v>95.44385547716941</v>
      </c>
      <c r="X17" s="36">
        <f>V17-Y17</f>
        <v>-38526.40837283584</v>
      </c>
      <c r="Y17" s="36">
        <f>Z17*1.18</f>
        <v>673401.0583728359</v>
      </c>
      <c r="Z17" s="36">
        <f>AA17+AG17+AR17+AZ17+BE17+BF17</f>
        <v>570678.863027827</v>
      </c>
      <c r="AA17" s="29">
        <f>AE17+AF17</f>
        <v>123199.49695340049</v>
      </c>
      <c r="AB17" s="29">
        <v>2.39</v>
      </c>
      <c r="AC17" s="29">
        <f>3335677.04/79.4*AB17</f>
        <v>100406.39956675062</v>
      </c>
      <c r="AD17" s="29">
        <f>529475.59/3335677.04*AC17</f>
        <v>15937.61536649874</v>
      </c>
      <c r="AE17" s="29">
        <f>AC17+AD17</f>
        <v>116344.01493324936</v>
      </c>
      <c r="AF17" s="29">
        <f>227751.16/79.4*AB17</f>
        <v>6855.482020151134</v>
      </c>
      <c r="AG17" s="29">
        <f>AI17+AJ17+AK17+AL17+AM17+AO17+AP17+AQ17</f>
        <v>155780.1468878783</v>
      </c>
      <c r="AH17" s="29">
        <f>0.961+0.02</f>
        <v>0.981</v>
      </c>
      <c r="AI17" s="29">
        <f>4838591.15/63.3*AH17</f>
        <v>74986.69696919432</v>
      </c>
      <c r="AJ17" s="29">
        <f>965412.23/4838591.15*AI17</f>
        <v>14961.60185829384</v>
      </c>
      <c r="AK17" s="38">
        <v>22900.13</v>
      </c>
      <c r="AL17" s="39">
        <f>123624.91/74.3*(AH17+AN17)</f>
        <v>2018.680085641882</v>
      </c>
      <c r="AM17" s="39"/>
      <c r="AN17" s="36">
        <f>11/206520.5*D17</f>
        <v>0.2322500671846136</v>
      </c>
      <c r="AO17" s="36">
        <f>1348323.71/11*AN17</f>
        <v>28468.024748555225</v>
      </c>
      <c r="AP17" s="29">
        <f>277648.69/1348323.71*AO17</f>
        <v>5862.175173292723</v>
      </c>
      <c r="AQ17" s="29">
        <f>311781.26/206520.5*D17</f>
        <v>6582.838052900317</v>
      </c>
      <c r="AR17" s="29">
        <f>AS17+AT17+AU17+AV17+AW17+AX17+AY17</f>
        <v>84012.58904325501</v>
      </c>
      <c r="AS17" s="29">
        <f>3427*2.6*9</f>
        <v>80191.8</v>
      </c>
      <c r="AT17" s="39">
        <f>145379.72/206520.5*D17</f>
        <v>3069.495430661847</v>
      </c>
      <c r="AU17" s="29"/>
      <c r="AV17" s="29">
        <f>20083.92/4341*I17</f>
        <v>370.1252246026261</v>
      </c>
      <c r="AW17" s="29"/>
      <c r="AX17" s="29"/>
      <c r="AY17" s="29">
        <f>18053.18/206520.5*D17</f>
        <v>381.16838799053846</v>
      </c>
      <c r="AZ17" s="40">
        <f>BB17+BC17+BD17</f>
        <v>121936.32129792441</v>
      </c>
      <c r="BA17" s="40">
        <f>37.6/206520.5*D17</f>
        <v>0.793872956921952</v>
      </c>
      <c r="BB17" s="29">
        <f>4053113.48/37.6*BA17</f>
        <v>85575.9889124421</v>
      </c>
      <c r="BC17" s="29">
        <f>887989.5/4053113.48*BB17</f>
        <v>18748.692821293767</v>
      </c>
      <c r="BD17" s="29">
        <f>834135.54/37.6*BA17</f>
        <v>17611.639564188543</v>
      </c>
      <c r="BE17" s="29">
        <f>3513152.23/206520.5*D17</f>
        <v>74175.44013157047</v>
      </c>
      <c r="BF17" s="39">
        <f>548217.52/206520.5*D17</f>
        <v>11574.868713798387</v>
      </c>
      <c r="BG17" s="29">
        <v>114124.19</v>
      </c>
      <c r="BH17" s="29">
        <v>2858.4</v>
      </c>
      <c r="BI17" s="29">
        <v>1.18</v>
      </c>
      <c r="BJ17" s="29">
        <v>30091.99</v>
      </c>
      <c r="BK17" s="29">
        <v>28449.57</v>
      </c>
      <c r="BL17" s="40"/>
      <c r="BM17" s="40"/>
      <c r="BN17" s="47"/>
      <c r="BO17" s="48"/>
      <c r="BP17" s="48"/>
      <c r="BQ17" s="48"/>
      <c r="BR17" s="48"/>
      <c r="BS17" s="44">
        <v>0.95</v>
      </c>
      <c r="BT17" s="44">
        <v>11437.53</v>
      </c>
      <c r="BU17" s="45">
        <v>11156.1</v>
      </c>
    </row>
    <row r="18" spans="1:73" ht="12.75">
      <c r="A18" s="49"/>
      <c r="B18" s="49" t="s">
        <v>89</v>
      </c>
      <c r="C18" s="50"/>
      <c r="D18" s="51">
        <f>SUM(D10:D17)</f>
        <v>21458.6</v>
      </c>
      <c r="E18" s="52"/>
      <c r="F18" s="53"/>
      <c r="G18" s="53"/>
      <c r="H18" s="54">
        <v>2</v>
      </c>
      <c r="I18" s="55">
        <f>SUM(I10:I17)</f>
        <v>416</v>
      </c>
      <c r="J18" s="54" t="s">
        <v>90</v>
      </c>
      <c r="K18" s="56">
        <f>SUM(K10:K17)</f>
        <v>2387.6</v>
      </c>
      <c r="L18" s="57">
        <f>SUM(L10:L17)</f>
        <v>8092.5</v>
      </c>
      <c r="M18" s="57">
        <f>SUM(M10:M17)</f>
        <v>1080.9</v>
      </c>
      <c r="N18" s="57">
        <f>SUM(N10:N17)</f>
        <v>2588</v>
      </c>
      <c r="O18" s="58">
        <f>SUM(O10:O17)</f>
        <v>25176</v>
      </c>
      <c r="P18" s="59">
        <f>SUM(P10:P17)</f>
        <v>0</v>
      </c>
      <c r="Q18" s="60"/>
      <c r="R18" s="60"/>
      <c r="S18" s="61">
        <f>SUM(S10:S17)</f>
        <v>7857.5</v>
      </c>
      <c r="T18" s="61"/>
      <c r="U18" s="51">
        <f>SUM(U10:U17)</f>
        <v>3407878.98</v>
      </c>
      <c r="V18" s="51">
        <f>SUM(V10:V17)</f>
        <v>3217526.0199999996</v>
      </c>
      <c r="W18" s="51">
        <f>V18/U18*100</f>
        <v>94.41432747121787</v>
      </c>
      <c r="X18" s="51">
        <f>SUM(X10:X17)</f>
        <v>-186082.01267832244</v>
      </c>
      <c r="Y18" s="51">
        <f>SUM(Y10:Y17)</f>
        <v>3403608.0326783224</v>
      </c>
      <c r="Z18" s="51">
        <f>SUM(Z10:Z17)</f>
        <v>2884413.5870155278</v>
      </c>
      <c r="AA18" s="62">
        <f>SUM(AA10:AA17)</f>
        <v>501561.1319483627</v>
      </c>
      <c r="AB18" s="62">
        <f>SUM(AB10:AB17)</f>
        <v>9.729999999999999</v>
      </c>
      <c r="AC18" s="62">
        <f>SUM(AC10:AC17)</f>
        <v>408767.4760604533</v>
      </c>
      <c r="AD18" s="62">
        <f>SUM(AD10:AD17)</f>
        <v>64884.09937909319</v>
      </c>
      <c r="AE18" s="62">
        <f>SUM(AE10:AE17)</f>
        <v>473651.5754395465</v>
      </c>
      <c r="AF18" s="62">
        <f>SUM(AF10:AF17)</f>
        <v>27909.55650881612</v>
      </c>
      <c r="AG18" s="51">
        <f>SUM(AG10:AG17)</f>
        <v>880360.6999875959</v>
      </c>
      <c r="AH18" s="62">
        <f>SUM(AH10:AH17)</f>
        <v>5.897</v>
      </c>
      <c r="AI18" s="51">
        <f>SUM(AI10:AI17)</f>
        <v>450761.0112409164</v>
      </c>
      <c r="AJ18" s="51">
        <f>SUM(AJ10:AJ17)</f>
        <v>89937.37630821487</v>
      </c>
      <c r="AK18" s="51">
        <f>SUM(AK10:AK17)</f>
        <v>114767.20000000001</v>
      </c>
      <c r="AL18" s="51">
        <f>SUM(AL10:AL17)</f>
        <v>11713.51788820938</v>
      </c>
      <c r="AM18" s="51">
        <f>SUM(AM10:AM17)</f>
        <v>11838.48</v>
      </c>
      <c r="AN18" s="51">
        <f>SUM(AN10:AN17)</f>
        <v>1.1429596577579468</v>
      </c>
      <c r="AO18" s="56">
        <f>SUM(AO10:AO17)</f>
        <v>140098.14601168406</v>
      </c>
      <c r="AP18" s="51">
        <f>SUM(AP10:AP17)</f>
        <v>28849.204699940197</v>
      </c>
      <c r="AQ18" s="51">
        <f>SUM(AQ10:AQ17)</f>
        <v>32395.763838631032</v>
      </c>
      <c r="AR18" s="51">
        <f>SUM(AR10:AR17)</f>
        <v>480414.8076451887</v>
      </c>
      <c r="AS18" s="62">
        <f>SUM(AS10:AS17)</f>
        <v>289645.2</v>
      </c>
      <c r="AT18" s="51">
        <f>SUM(AT10:AT17)</f>
        <v>15105.741365104192</v>
      </c>
      <c r="AU18" s="51">
        <f>SUM(AU10:AU17)</f>
        <v>169415.46</v>
      </c>
      <c r="AV18" s="51">
        <f>SUM(AV10:AV17)</f>
        <v>1924.6511679336556</v>
      </c>
      <c r="AW18" s="51">
        <f>SUM(AW10:AW17)</f>
        <v>2110.742030075188</v>
      </c>
      <c r="AX18" s="51">
        <f>SUM(AX10:AX17)</f>
        <v>337.18976987177615</v>
      </c>
      <c r="AY18" s="51">
        <f>SUM(AY10:AY17)</f>
        <v>1875.8233122038735</v>
      </c>
      <c r="AZ18" s="51">
        <f>SUM(AZ10:AZ17)</f>
        <v>600078.603844519</v>
      </c>
      <c r="BA18" s="51">
        <f>SUM(BA10:BA17)</f>
        <v>3.906843921063526</v>
      </c>
      <c r="BB18" s="51">
        <f>SUM(BB10:BB17)</f>
        <v>421140.47235953814</v>
      </c>
      <c r="BC18" s="51">
        <f>SUM(BC10:BC17)</f>
        <v>92266.92500115</v>
      </c>
      <c r="BD18" s="51">
        <f>SUM(BD10:BD17)</f>
        <v>86671.2064838309</v>
      </c>
      <c r="BE18" s="51">
        <f>SUM(BE10:BE17)</f>
        <v>365035.5700411242</v>
      </c>
      <c r="BF18" s="51">
        <f>SUM(BF10:BF17)</f>
        <v>56962.77354873729</v>
      </c>
      <c r="BG18" s="51">
        <f>SUM(BG10:BG17)</f>
        <v>560141.52</v>
      </c>
      <c r="BH18" s="63">
        <f>SUM(BH10:BH17)</f>
        <v>12452.3</v>
      </c>
      <c r="BI18" s="62"/>
      <c r="BJ18" s="51">
        <f>SUM(BJ10:BJ17)</f>
        <v>106412.23</v>
      </c>
      <c r="BK18" s="51">
        <f>SUM(BK10:BK17)</f>
        <v>116746.31</v>
      </c>
      <c r="BL18" s="64"/>
      <c r="BM18" s="64"/>
      <c r="BN18" s="63" t="s">
        <v>90</v>
      </c>
      <c r="BO18" s="65"/>
      <c r="BP18" s="65"/>
      <c r="BQ18" s="65"/>
      <c r="BR18" s="65"/>
      <c r="BS18" s="66"/>
      <c r="BT18" s="62">
        <f>SUM(BT10:BT17)</f>
        <v>51411.46000000001</v>
      </c>
      <c r="BU18" s="62">
        <f>SUM(BU10:BU17)</f>
        <v>46831.57</v>
      </c>
    </row>
    <row r="19" spans="1:3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AJ19" s="67"/>
      <c r="AK19" s="68"/>
      <c r="AL19" s="68"/>
      <c r="AM19" s="68"/>
    </row>
    <row r="20" spans="1:3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J20" s="67"/>
      <c r="AK20" s="69"/>
      <c r="AL20" s="68"/>
      <c r="AM20" s="69"/>
    </row>
  </sheetData>
  <sheetProtection selectLockedCells="1" selectUnlockedCells="1"/>
  <mergeCells count="30">
    <mergeCell ref="A4:Q4"/>
    <mergeCell ref="A5:Q5"/>
    <mergeCell ref="A6:Q6"/>
    <mergeCell ref="AA6:AF6"/>
    <mergeCell ref="AG6:AQ6"/>
    <mergeCell ref="AR6:AY6"/>
    <mergeCell ref="BH6:BR6"/>
    <mergeCell ref="BS6:BU6"/>
    <mergeCell ref="A7:Q7"/>
    <mergeCell ref="AA7:AA8"/>
    <mergeCell ref="AB7:AF7"/>
    <mergeCell ref="AG7:AG8"/>
    <mergeCell ref="AH7:AQ7"/>
    <mergeCell ref="AR7:AR8"/>
    <mergeCell ref="AS7:AY7"/>
    <mergeCell ref="AZ7:AZ8"/>
    <mergeCell ref="BA7:BD7"/>
    <mergeCell ref="BE7:BE8"/>
    <mergeCell ref="BF7:BF8"/>
    <mergeCell ref="BG7:BG8"/>
    <mergeCell ref="BH7:BH8"/>
    <mergeCell ref="BI7:BI8"/>
    <mergeCell ref="BJ7:BJ8"/>
    <mergeCell ref="BK7:BK8"/>
    <mergeCell ref="BL7:BN7"/>
    <mergeCell ref="BO7:BR7"/>
    <mergeCell ref="BS7:BS8"/>
    <mergeCell ref="BT7:BT8"/>
    <mergeCell ref="BU7:BU8"/>
    <mergeCell ref="AJ19:AJ20"/>
  </mergeCells>
  <printOptions horizontalCentered="1" verticalCentered="1"/>
  <pageMargins left="0.022222222222222223" right="0.06597222222222222" top="0.001388888888888889" bottom="0.0423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Cronos</cp:lastModifiedBy>
  <cp:lastPrinted>2010-11-18T06:55:13Z</cp:lastPrinted>
  <dcterms:modified xsi:type="dcterms:W3CDTF">2010-12-18T09:25:04Z</dcterms:modified>
  <cp:category/>
  <cp:version/>
  <cp:contentType/>
  <cp:contentStatus/>
  <cp:revision>32</cp:revision>
</cp:coreProperties>
</file>